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PC Contraloria\DAF\OFRB 2021 DAF\2021\PRESUPUESTO\EJECUCIÓN PRESUPUESTAL MENSUAL 2021\"/>
    </mc:Choice>
  </mc:AlternateContent>
  <xr:revisionPtr revIDLastSave="0" documentId="13_ncr:1_{0B7AA7FE-1D65-48D2-9043-27042B557796}" xr6:coauthVersionLast="43" xr6:coauthVersionMax="43" xr10:uidLastSave="{00000000-0000-0000-0000-000000000000}"/>
  <bookViews>
    <workbookView xWindow="-120" yWindow="-120" windowWidth="29040" windowHeight="15840" tabRatio="916" firstSheet="11" activeTab="11" xr2:uid="{00000000-000D-0000-FFFF-FFFF00000000}"/>
  </bookViews>
  <sheets>
    <sheet name="PAC INICIAL 2020 (2)" sheetId="43" state="hidden" r:id="rId1"/>
    <sheet name="PROYECCION 2021" sheetId="29" state="hidden" r:id="rId2"/>
    <sheet name="PAC INICIAL 2021" sheetId="13" state="hidden" r:id="rId3"/>
    <sheet name="PAC MENSUALIZADO 2021" sheetId="56" state="hidden" r:id="rId4"/>
    <sheet name="LIBRO DE PRESUPUESTO" sheetId="15" state="hidden" r:id="rId5"/>
    <sheet name="ENERO" sheetId="53" state="hidden" r:id="rId6"/>
    <sheet name="FEBRERO" sheetId="54" state="hidden" r:id="rId7"/>
    <sheet name="MARZO" sheetId="60" state="hidden" r:id="rId8"/>
    <sheet name="ABRIL" sheetId="61" state="hidden" r:id="rId9"/>
    <sheet name="MAYO" sheetId="62" state="hidden" r:id="rId10"/>
    <sheet name="JUNIO" sheetId="63" state="hidden" r:id="rId11"/>
    <sheet name="JULIO" sheetId="64" r:id="rId12"/>
  </sheets>
  <definedNames>
    <definedName name="_xlnm._FilterDatabase" localSheetId="4" hidden="1">'LIBRO DE PRESUPUESTO'!$B$4:$K$4</definedName>
    <definedName name="_xlnm.Print_Area" localSheetId="8">ABRIL!$A$1:$P$62</definedName>
    <definedName name="_xlnm.Print_Area" localSheetId="11">JULIO!$A$1:$P$70</definedName>
    <definedName name="_xlnm.Print_Area" localSheetId="10">JUNIO!$A$1:$P$70</definedName>
    <definedName name="_xlnm.Print_Area" localSheetId="7">MARZO!$A$1:$P$62</definedName>
    <definedName name="_xlnm.Print_Area" localSheetId="9">MAYO!$A$1:$P$70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7" i="15" l="1"/>
  <c r="F45" i="64"/>
  <c r="F41" i="64"/>
  <c r="F20" i="64"/>
  <c r="F19" i="64"/>
  <c r="G9" i="64"/>
  <c r="P20" i="64"/>
  <c r="P19" i="64"/>
  <c r="I62" i="64" l="1"/>
  <c r="I61" i="64" s="1"/>
  <c r="I52" i="64"/>
  <c r="I54" i="64"/>
  <c r="I55" i="64"/>
  <c r="I56" i="64"/>
  <c r="I57" i="64"/>
  <c r="L57" i="64" s="1"/>
  <c r="I58" i="64"/>
  <c r="I59" i="64"/>
  <c r="I60" i="64"/>
  <c r="L56" i="64"/>
  <c r="L52" i="64"/>
  <c r="L60" i="64"/>
  <c r="P60" i="64" s="1"/>
  <c r="I42" i="64"/>
  <c r="I43" i="64"/>
  <c r="I40" i="64"/>
  <c r="M40" i="64" s="1"/>
  <c r="P40" i="64" s="1"/>
  <c r="I29" i="64"/>
  <c r="I30" i="64"/>
  <c r="I38" i="64"/>
  <c r="I28" i="64"/>
  <c r="I26" i="64"/>
  <c r="I23" i="64"/>
  <c r="M23" i="64" s="1"/>
  <c r="I21" i="64"/>
  <c r="I10" i="64"/>
  <c r="I14" i="64"/>
  <c r="I15" i="64"/>
  <c r="I16" i="64"/>
  <c r="M16" i="64" s="1"/>
  <c r="I17" i="64"/>
  <c r="L17" i="64" s="1"/>
  <c r="K17" i="64" s="1"/>
  <c r="H62" i="64"/>
  <c r="H61" i="64" s="1"/>
  <c r="R61" i="64"/>
  <c r="K61" i="64"/>
  <c r="J61" i="64"/>
  <c r="G61" i="64"/>
  <c r="F61" i="64"/>
  <c r="E61" i="64"/>
  <c r="D61" i="64"/>
  <c r="C61" i="64"/>
  <c r="M60" i="64"/>
  <c r="H60" i="64"/>
  <c r="M59" i="64"/>
  <c r="L59" i="64"/>
  <c r="H59" i="64"/>
  <c r="L58" i="64"/>
  <c r="M58" i="64"/>
  <c r="H58" i="64"/>
  <c r="H57" i="64"/>
  <c r="H56" i="64"/>
  <c r="L55" i="64"/>
  <c r="M55" i="64"/>
  <c r="H55" i="64"/>
  <c r="M54" i="64"/>
  <c r="L54" i="64"/>
  <c r="H54" i="64"/>
  <c r="H53" i="64"/>
  <c r="M52" i="64"/>
  <c r="H52" i="64"/>
  <c r="H51" i="64"/>
  <c r="H50" i="64"/>
  <c r="H49" i="64"/>
  <c r="C48" i="64"/>
  <c r="H48" i="64" s="1"/>
  <c r="H47" i="64"/>
  <c r="H46" i="64"/>
  <c r="H45" i="64"/>
  <c r="J44" i="64"/>
  <c r="G44" i="64"/>
  <c r="F44" i="64"/>
  <c r="E44" i="64"/>
  <c r="D44" i="64"/>
  <c r="C44" i="64"/>
  <c r="M43" i="64"/>
  <c r="L43" i="64"/>
  <c r="P43" i="64" s="1"/>
  <c r="H43" i="64"/>
  <c r="M42" i="64"/>
  <c r="L42" i="64"/>
  <c r="K42" i="64" s="1"/>
  <c r="H42" i="64"/>
  <c r="H41" i="64"/>
  <c r="H40" i="64"/>
  <c r="J39" i="64"/>
  <c r="G39" i="64"/>
  <c r="F39" i="64"/>
  <c r="E39" i="64"/>
  <c r="D39" i="64"/>
  <c r="C39" i="64"/>
  <c r="M38" i="64"/>
  <c r="L38" i="64"/>
  <c r="P38" i="64" s="1"/>
  <c r="H38" i="64"/>
  <c r="H37" i="64"/>
  <c r="H36" i="64"/>
  <c r="H35" i="64"/>
  <c r="H34" i="64"/>
  <c r="H33" i="64"/>
  <c r="H32" i="64"/>
  <c r="H31" i="64"/>
  <c r="L30" i="64"/>
  <c r="M30" i="64"/>
  <c r="H30" i="64"/>
  <c r="N30" i="64" s="1"/>
  <c r="M29" i="64"/>
  <c r="K29" i="64"/>
  <c r="L29" i="64"/>
  <c r="H29" i="64"/>
  <c r="M28" i="64"/>
  <c r="L28" i="64"/>
  <c r="K28" i="64" s="1"/>
  <c r="H28" i="64"/>
  <c r="J27" i="64"/>
  <c r="G27" i="64"/>
  <c r="F27" i="64"/>
  <c r="E27" i="64"/>
  <c r="D27" i="64"/>
  <c r="D63" i="64" s="1"/>
  <c r="C27" i="64"/>
  <c r="M26" i="64"/>
  <c r="L26" i="64"/>
  <c r="K26" i="64" s="1"/>
  <c r="H26" i="64"/>
  <c r="H25" i="64"/>
  <c r="H24" i="64"/>
  <c r="L23" i="64"/>
  <c r="H23" i="64"/>
  <c r="J22" i="64"/>
  <c r="H22" i="64"/>
  <c r="G22" i="64"/>
  <c r="F22" i="64"/>
  <c r="E22" i="64"/>
  <c r="D22" i="64"/>
  <c r="C22" i="64"/>
  <c r="M21" i="64"/>
  <c r="Q21" i="64" s="1"/>
  <c r="H21" i="64"/>
  <c r="C21" i="64"/>
  <c r="H20" i="64"/>
  <c r="H19" i="64"/>
  <c r="P18" i="64"/>
  <c r="J18" i="64"/>
  <c r="H18" i="64"/>
  <c r="G18" i="64"/>
  <c r="F18" i="64"/>
  <c r="E18" i="64"/>
  <c r="D18" i="64"/>
  <c r="C18" i="64"/>
  <c r="M17" i="64"/>
  <c r="H17" i="64"/>
  <c r="H16" i="64"/>
  <c r="L15" i="64"/>
  <c r="K15" i="64" s="1"/>
  <c r="M15" i="64"/>
  <c r="H15" i="64"/>
  <c r="M14" i="64"/>
  <c r="H14" i="64"/>
  <c r="H13" i="64"/>
  <c r="H12" i="64"/>
  <c r="H11" i="64"/>
  <c r="L10" i="64"/>
  <c r="K10" i="64" s="1"/>
  <c r="M10" i="64"/>
  <c r="P10" i="64" s="1"/>
  <c r="H10" i="64"/>
  <c r="H9" i="64"/>
  <c r="J8" i="64"/>
  <c r="G8" i="64"/>
  <c r="G63" i="64" s="1"/>
  <c r="F8" i="64"/>
  <c r="E8" i="64"/>
  <c r="E63" i="64" s="1"/>
  <c r="D8" i="64"/>
  <c r="C8" i="64"/>
  <c r="H39" i="64" l="1"/>
  <c r="L62" i="64"/>
  <c r="M57" i="64"/>
  <c r="M56" i="64"/>
  <c r="R56" i="64" s="1"/>
  <c r="N52" i="64"/>
  <c r="N60" i="64"/>
  <c r="R54" i="64"/>
  <c r="N43" i="64"/>
  <c r="L40" i="64"/>
  <c r="N38" i="64"/>
  <c r="Q38" i="64"/>
  <c r="P23" i="64"/>
  <c r="Q23" i="64" s="1"/>
  <c r="R23" i="64"/>
  <c r="Q43" i="64"/>
  <c r="H8" i="64"/>
  <c r="R30" i="64"/>
  <c r="P30" i="64"/>
  <c r="Q30" i="64" s="1"/>
  <c r="N40" i="64"/>
  <c r="H44" i="64"/>
  <c r="N54" i="64"/>
  <c r="O54" i="64" s="1"/>
  <c r="K54" i="64"/>
  <c r="F63" i="64"/>
  <c r="J63" i="64"/>
  <c r="L21" i="64"/>
  <c r="R21" i="64" s="1"/>
  <c r="K23" i="64"/>
  <c r="N26" i="64"/>
  <c r="O26" i="64" s="1"/>
  <c r="R28" i="64"/>
  <c r="N29" i="64"/>
  <c r="O29" i="64" s="1"/>
  <c r="R52" i="64"/>
  <c r="P52" i="64"/>
  <c r="Q52" i="64" s="1"/>
  <c r="N55" i="64"/>
  <c r="N56" i="64"/>
  <c r="N57" i="64"/>
  <c r="N58" i="64"/>
  <c r="N59" i="64"/>
  <c r="O59" i="64" s="1"/>
  <c r="P15" i="64"/>
  <c r="Q15" i="64" s="1"/>
  <c r="N10" i="64"/>
  <c r="O10" i="64" s="1"/>
  <c r="L14" i="64"/>
  <c r="N15" i="64"/>
  <c r="O15" i="64" s="1"/>
  <c r="R15" i="64"/>
  <c r="L16" i="64"/>
  <c r="N17" i="64"/>
  <c r="O17" i="64" s="1"/>
  <c r="R17" i="64"/>
  <c r="P26" i="64"/>
  <c r="Q26" i="64" s="1"/>
  <c r="R26" i="64"/>
  <c r="N28" i="64"/>
  <c r="H27" i="64"/>
  <c r="P29" i="64"/>
  <c r="N42" i="64"/>
  <c r="O42" i="64" s="1"/>
  <c r="P59" i="64"/>
  <c r="Q59" i="64" s="1"/>
  <c r="R59" i="64"/>
  <c r="P17" i="64"/>
  <c r="Q17" i="64" s="1"/>
  <c r="N23" i="64"/>
  <c r="C63" i="64"/>
  <c r="Q40" i="64"/>
  <c r="P42" i="64"/>
  <c r="R42" i="64"/>
  <c r="R55" i="64"/>
  <c r="P55" i="64"/>
  <c r="Q55" i="64" s="1"/>
  <c r="P56" i="64"/>
  <c r="R57" i="64"/>
  <c r="P57" i="64"/>
  <c r="Q57" i="64" s="1"/>
  <c r="R58" i="64"/>
  <c r="P58" i="64"/>
  <c r="Q58" i="64" s="1"/>
  <c r="K59" i="64"/>
  <c r="Q60" i="64"/>
  <c r="L61" i="64"/>
  <c r="P62" i="64"/>
  <c r="P61" i="64" s="1"/>
  <c r="M61" i="64"/>
  <c r="M62" i="64"/>
  <c r="P28" i="64"/>
  <c r="R38" i="64"/>
  <c r="R40" i="64"/>
  <c r="R43" i="64"/>
  <c r="P54" i="64"/>
  <c r="Q54" i="64" s="1"/>
  <c r="R60" i="64"/>
  <c r="N62" i="64"/>
  <c r="N61" i="64" s="1"/>
  <c r="G19" i="56"/>
  <c r="Q56" i="64" l="1"/>
  <c r="O28" i="64"/>
  <c r="Q42" i="64"/>
  <c r="H63" i="64"/>
  <c r="Q28" i="64"/>
  <c r="O23" i="64"/>
  <c r="P14" i="64"/>
  <c r="Q14" i="64" s="1"/>
  <c r="R14" i="64"/>
  <c r="N14" i="64"/>
  <c r="O14" i="64" s="1"/>
  <c r="K14" i="64"/>
  <c r="N21" i="64"/>
  <c r="Q62" i="64"/>
  <c r="Q61" i="64" s="1"/>
  <c r="R16" i="64"/>
  <c r="P16" i="64"/>
  <c r="Q16" i="64" s="1"/>
  <c r="N16" i="64"/>
  <c r="O16" i="64" s="1"/>
  <c r="K16" i="64"/>
  <c r="P9" i="15" l="1"/>
  <c r="J77" i="56" l="1"/>
  <c r="I77" i="56"/>
  <c r="H77" i="56"/>
  <c r="J65" i="56"/>
  <c r="I65" i="56"/>
  <c r="H65" i="56"/>
  <c r="J60" i="56"/>
  <c r="J79" i="56" s="1"/>
  <c r="I60" i="56"/>
  <c r="H60" i="56"/>
  <c r="J43" i="56"/>
  <c r="I43" i="56"/>
  <c r="H43" i="56"/>
  <c r="H42" i="56"/>
  <c r="H38" i="56" s="1"/>
  <c r="H37" i="56" s="1"/>
  <c r="J38" i="56"/>
  <c r="J37" i="56" s="1"/>
  <c r="I38" i="56"/>
  <c r="I37" i="56" s="1"/>
  <c r="H36" i="56"/>
  <c r="I36" i="56" s="1"/>
  <c r="I33" i="56" s="1"/>
  <c r="J33" i="56"/>
  <c r="J23" i="56"/>
  <c r="I23" i="56"/>
  <c r="H23" i="56"/>
  <c r="I79" i="56" l="1"/>
  <c r="H33" i="56"/>
  <c r="H79" i="56" s="1"/>
  <c r="P19" i="63"/>
  <c r="P20" i="63" l="1"/>
  <c r="P20" i="62"/>
  <c r="P19" i="62"/>
  <c r="S63" i="56" l="1"/>
  <c r="S62" i="56"/>
  <c r="S75" i="56"/>
  <c r="S74" i="56"/>
  <c r="S73" i="56"/>
  <c r="S72" i="56"/>
  <c r="S71" i="56"/>
  <c r="S69" i="56"/>
  <c r="R70" i="56"/>
  <c r="S49" i="56"/>
  <c r="S45" i="56"/>
  <c r="I62" i="63"/>
  <c r="L62" i="63" s="1"/>
  <c r="I52" i="63"/>
  <c r="I54" i="63"/>
  <c r="I55" i="63"/>
  <c r="I56" i="63"/>
  <c r="M56" i="63" s="1"/>
  <c r="I57" i="63"/>
  <c r="I58" i="63"/>
  <c r="I59" i="63"/>
  <c r="I60" i="63"/>
  <c r="M60" i="63" s="1"/>
  <c r="I42" i="63"/>
  <c r="I43" i="63"/>
  <c r="I40" i="63"/>
  <c r="M40" i="63" s="1"/>
  <c r="I29" i="63"/>
  <c r="I30" i="63"/>
  <c r="I38" i="63"/>
  <c r="I28" i="63"/>
  <c r="I26" i="63"/>
  <c r="I23" i="63"/>
  <c r="I21" i="63"/>
  <c r="I10" i="63"/>
  <c r="M10" i="63" s="1"/>
  <c r="P10" i="63" s="1"/>
  <c r="I14" i="63"/>
  <c r="M14" i="63" s="1"/>
  <c r="I15" i="63"/>
  <c r="I16" i="63"/>
  <c r="I17" i="63"/>
  <c r="H62" i="63"/>
  <c r="H61" i="63" s="1"/>
  <c r="R61" i="63"/>
  <c r="K61" i="63"/>
  <c r="J61" i="63"/>
  <c r="G61" i="63"/>
  <c r="F61" i="63"/>
  <c r="E61" i="63"/>
  <c r="D61" i="63"/>
  <c r="C61" i="63"/>
  <c r="H60" i="63"/>
  <c r="L59" i="63"/>
  <c r="H59" i="63"/>
  <c r="M58" i="63"/>
  <c r="H58" i="63"/>
  <c r="M57" i="63"/>
  <c r="H57" i="63"/>
  <c r="H56" i="63"/>
  <c r="M55" i="63"/>
  <c r="H55" i="63"/>
  <c r="M54" i="63"/>
  <c r="L54" i="63"/>
  <c r="H54" i="63"/>
  <c r="H53" i="63"/>
  <c r="M52" i="63"/>
  <c r="H52" i="63"/>
  <c r="H51" i="63"/>
  <c r="H50" i="63"/>
  <c r="H49" i="63"/>
  <c r="H48" i="63"/>
  <c r="C48" i="63"/>
  <c r="C44" i="63" s="1"/>
  <c r="H47" i="63"/>
  <c r="H46" i="63"/>
  <c r="H45" i="63"/>
  <c r="J44" i="63"/>
  <c r="G44" i="63"/>
  <c r="F44" i="63"/>
  <c r="E44" i="63"/>
  <c r="D44" i="63"/>
  <c r="M43" i="63"/>
  <c r="L43" i="63"/>
  <c r="P43" i="63" s="1"/>
  <c r="H43" i="63"/>
  <c r="L42" i="63"/>
  <c r="H42" i="63"/>
  <c r="H41" i="63"/>
  <c r="H40" i="63"/>
  <c r="H39" i="63" s="1"/>
  <c r="J39" i="63"/>
  <c r="G39" i="63"/>
  <c r="F39" i="63"/>
  <c r="E39" i="63"/>
  <c r="D39" i="63"/>
  <c r="C39" i="63"/>
  <c r="M38" i="63"/>
  <c r="L38" i="63"/>
  <c r="P38" i="63" s="1"/>
  <c r="H38" i="63"/>
  <c r="H37" i="63"/>
  <c r="H36" i="63"/>
  <c r="H35" i="63"/>
  <c r="H34" i="63"/>
  <c r="H33" i="63"/>
  <c r="H32" i="63"/>
  <c r="H31" i="63"/>
  <c r="H30" i="63"/>
  <c r="M29" i="63"/>
  <c r="L29" i="63"/>
  <c r="P29" i="63" s="1"/>
  <c r="H29" i="63"/>
  <c r="H28" i="63"/>
  <c r="J27" i="63"/>
  <c r="G27" i="63"/>
  <c r="F27" i="63"/>
  <c r="E27" i="63"/>
  <c r="D27" i="63"/>
  <c r="D63" i="63" s="1"/>
  <c r="C27" i="63"/>
  <c r="C63" i="63" s="1"/>
  <c r="M26" i="63"/>
  <c r="L26" i="63"/>
  <c r="P26" i="63" s="1"/>
  <c r="H26" i="63"/>
  <c r="H25" i="63"/>
  <c r="H24" i="63"/>
  <c r="H23" i="63"/>
  <c r="J22" i="63"/>
  <c r="G22" i="63"/>
  <c r="F22" i="63"/>
  <c r="E22" i="63"/>
  <c r="D22" i="63"/>
  <c r="C22" i="63"/>
  <c r="H21" i="63"/>
  <c r="C21" i="63"/>
  <c r="H20" i="63"/>
  <c r="H19" i="63"/>
  <c r="P18" i="63"/>
  <c r="J18" i="63"/>
  <c r="H18" i="63"/>
  <c r="G18" i="63"/>
  <c r="F18" i="63"/>
  <c r="E18" i="63"/>
  <c r="D18" i="63"/>
  <c r="C18" i="63"/>
  <c r="L17" i="63"/>
  <c r="M17" i="63"/>
  <c r="H17" i="63"/>
  <c r="M16" i="63"/>
  <c r="H16" i="63"/>
  <c r="L15" i="63"/>
  <c r="M15" i="63"/>
  <c r="H15" i="63"/>
  <c r="H14" i="63"/>
  <c r="H13" i="63"/>
  <c r="H12" i="63"/>
  <c r="H11" i="63"/>
  <c r="H10" i="63"/>
  <c r="H9" i="63"/>
  <c r="G9" i="63"/>
  <c r="J8" i="63"/>
  <c r="H8" i="63"/>
  <c r="G8" i="63"/>
  <c r="G63" i="63" s="1"/>
  <c r="F8" i="63"/>
  <c r="F63" i="63" s="1"/>
  <c r="E8" i="63"/>
  <c r="D8" i="63"/>
  <c r="C8" i="63"/>
  <c r="R54" i="63" l="1"/>
  <c r="R43" i="63"/>
  <c r="N43" i="63"/>
  <c r="L40" i="63"/>
  <c r="R40" i="63"/>
  <c r="N26" i="63"/>
  <c r="O26" i="63" s="1"/>
  <c r="L10" i="63"/>
  <c r="K10" i="63" s="1"/>
  <c r="N54" i="63"/>
  <c r="O54" i="63" s="1"/>
  <c r="J63" i="63"/>
  <c r="K29" i="63"/>
  <c r="Q38" i="63"/>
  <c r="N38" i="63"/>
  <c r="Q26" i="63"/>
  <c r="R15" i="63"/>
  <c r="R17" i="63"/>
  <c r="L14" i="63"/>
  <c r="N15" i="63"/>
  <c r="O15" i="63" s="1"/>
  <c r="L16" i="63"/>
  <c r="N17" i="63"/>
  <c r="O17" i="63" s="1"/>
  <c r="P59" i="63"/>
  <c r="K59" i="63"/>
  <c r="N59" i="63"/>
  <c r="O59" i="63" s="1"/>
  <c r="L61" i="63"/>
  <c r="P62" i="63"/>
  <c r="P61" i="63" s="1"/>
  <c r="K15" i="63"/>
  <c r="K17" i="63"/>
  <c r="M21" i="63"/>
  <c r="Q21" i="63" s="1"/>
  <c r="L21" i="63"/>
  <c r="H22" i="63"/>
  <c r="M23" i="63"/>
  <c r="L23" i="63"/>
  <c r="H27" i="63"/>
  <c r="M28" i="63"/>
  <c r="L28" i="63"/>
  <c r="N29" i="63"/>
  <c r="O29" i="63" s="1"/>
  <c r="R38" i="63"/>
  <c r="P40" i="63"/>
  <c r="Q40" i="63"/>
  <c r="P42" i="63"/>
  <c r="K42" i="63"/>
  <c r="N42" i="63"/>
  <c r="O42" i="63" s="1"/>
  <c r="P15" i="63"/>
  <c r="Q15" i="63" s="1"/>
  <c r="P17" i="63"/>
  <c r="Q17" i="63" s="1"/>
  <c r="E63" i="63"/>
  <c r="M30" i="63"/>
  <c r="L30" i="63"/>
  <c r="N30" i="63" s="1"/>
  <c r="K26" i="63"/>
  <c r="R26" i="63"/>
  <c r="M42" i="63"/>
  <c r="Q43" i="63"/>
  <c r="K54" i="63"/>
  <c r="M59" i="63"/>
  <c r="R59" i="63" s="1"/>
  <c r="L60" i="63"/>
  <c r="I61" i="63"/>
  <c r="M61" i="63" s="1"/>
  <c r="M62" i="63"/>
  <c r="P54" i="63"/>
  <c r="Q54" i="63" s="1"/>
  <c r="N62" i="63"/>
  <c r="N61" i="63" s="1"/>
  <c r="N40" i="63"/>
  <c r="L52" i="63"/>
  <c r="N52" i="63" s="1"/>
  <c r="L55" i="63"/>
  <c r="N55" i="63" s="1"/>
  <c r="L56" i="63"/>
  <c r="N56" i="63" s="1"/>
  <c r="L57" i="63"/>
  <c r="L58" i="63"/>
  <c r="N58" i="63" s="1"/>
  <c r="H44" i="63"/>
  <c r="H63" i="63" s="1"/>
  <c r="Q42" i="63" l="1"/>
  <c r="N10" i="63"/>
  <c r="O10" i="63" s="1"/>
  <c r="Q62" i="63"/>
  <c r="Q61" i="63" s="1"/>
  <c r="Q59" i="63"/>
  <c r="N23" i="63"/>
  <c r="K23" i="63"/>
  <c r="R23" i="63"/>
  <c r="K14" i="63"/>
  <c r="N14" i="63"/>
  <c r="O14" i="63" s="1"/>
  <c r="R14" i="63"/>
  <c r="P14" i="63"/>
  <c r="Q14" i="63" s="1"/>
  <c r="P28" i="63"/>
  <c r="N28" i="63"/>
  <c r="K28" i="63"/>
  <c r="R28" i="63"/>
  <c r="R42" i="63"/>
  <c r="R21" i="63"/>
  <c r="N21" i="63"/>
  <c r="R55" i="63"/>
  <c r="P55" i="63"/>
  <c r="Q55" i="63" s="1"/>
  <c r="P60" i="63"/>
  <c r="Q60" i="63" s="1"/>
  <c r="R60" i="63"/>
  <c r="R58" i="63"/>
  <c r="P58" i="63"/>
  <c r="Q58" i="63" s="1"/>
  <c r="R52" i="63"/>
  <c r="P52" i="63"/>
  <c r="Q52" i="63" s="1"/>
  <c r="P23" i="63"/>
  <c r="Q23" i="63" s="1"/>
  <c r="R57" i="63"/>
  <c r="P57" i="63"/>
  <c r="Q57" i="63" s="1"/>
  <c r="N57" i="63"/>
  <c r="R30" i="63"/>
  <c r="P30" i="63"/>
  <c r="N60" i="63"/>
  <c r="K16" i="63"/>
  <c r="R16" i="63"/>
  <c r="N16" i="63"/>
  <c r="O16" i="63" s="1"/>
  <c r="P16" i="63"/>
  <c r="Q16" i="63" s="1"/>
  <c r="R56" i="63"/>
  <c r="P56" i="63"/>
  <c r="Q56" i="63" s="1"/>
  <c r="Q30" i="63"/>
  <c r="S48" i="56"/>
  <c r="S27" i="56"/>
  <c r="S26" i="56"/>
  <c r="S24" i="56"/>
  <c r="J27" i="62"/>
  <c r="T67" i="56"/>
  <c r="T68" i="56"/>
  <c r="T25" i="56"/>
  <c r="U25" i="56" s="1"/>
  <c r="P29" i="62"/>
  <c r="O29" i="62"/>
  <c r="N29" i="62"/>
  <c r="M29" i="62"/>
  <c r="L29" i="62"/>
  <c r="K29" i="62" s="1"/>
  <c r="H29" i="62"/>
  <c r="I14" i="62"/>
  <c r="I15" i="62"/>
  <c r="I16" i="62"/>
  <c r="I17" i="62"/>
  <c r="I62" i="62"/>
  <c r="I52" i="62"/>
  <c r="I54" i="62"/>
  <c r="I55" i="62"/>
  <c r="I56" i="62"/>
  <c r="I57" i="62"/>
  <c r="I58" i="62"/>
  <c r="I59" i="62"/>
  <c r="I60" i="62"/>
  <c r="I42" i="62"/>
  <c r="I43" i="62"/>
  <c r="I40" i="62"/>
  <c r="I30" i="62"/>
  <c r="I38" i="62"/>
  <c r="I28" i="62"/>
  <c r="I26" i="62"/>
  <c r="I23" i="62"/>
  <c r="I21" i="62"/>
  <c r="J9" i="61"/>
  <c r="M10" i="62"/>
  <c r="P10" i="62" s="1"/>
  <c r="L10" i="62"/>
  <c r="N10" i="62" s="1"/>
  <c r="O10" i="62" s="1"/>
  <c r="Q28" i="63" l="1"/>
  <c r="O28" i="63"/>
  <c r="O23" i="63"/>
  <c r="K10" i="62"/>
  <c r="H10" i="62"/>
  <c r="H11" i="62"/>
  <c r="H9" i="62"/>
  <c r="L62" i="62" l="1"/>
  <c r="H62" i="62"/>
  <c r="H61" i="62" s="1"/>
  <c r="R61" i="62"/>
  <c r="K61" i="62"/>
  <c r="J61" i="62"/>
  <c r="G61" i="62"/>
  <c r="F61" i="62"/>
  <c r="E61" i="62"/>
  <c r="D61" i="62"/>
  <c r="C61" i="62"/>
  <c r="M60" i="62"/>
  <c r="H60" i="62"/>
  <c r="M59" i="62"/>
  <c r="H59" i="62"/>
  <c r="L58" i="62"/>
  <c r="H58" i="62"/>
  <c r="L57" i="62"/>
  <c r="H57" i="62"/>
  <c r="M56" i="62"/>
  <c r="H56" i="62"/>
  <c r="L55" i="62"/>
  <c r="P55" i="62" s="1"/>
  <c r="M55" i="62"/>
  <c r="H55" i="62"/>
  <c r="M54" i="62"/>
  <c r="L54" i="62"/>
  <c r="H54" i="62"/>
  <c r="H53" i="62"/>
  <c r="M52" i="62"/>
  <c r="H52" i="62"/>
  <c r="H51" i="62"/>
  <c r="H50" i="62"/>
  <c r="H49" i="62"/>
  <c r="C48" i="62"/>
  <c r="H48" i="62" s="1"/>
  <c r="H47" i="62"/>
  <c r="H46" i="62"/>
  <c r="H45" i="62"/>
  <c r="J44" i="62"/>
  <c r="G44" i="62"/>
  <c r="F44" i="62"/>
  <c r="E44" i="62"/>
  <c r="D44" i="62"/>
  <c r="C44" i="62"/>
  <c r="L43" i="62"/>
  <c r="P43" i="62" s="1"/>
  <c r="H43" i="62"/>
  <c r="M42" i="62"/>
  <c r="H42" i="62"/>
  <c r="H41" i="62"/>
  <c r="H40" i="62"/>
  <c r="J39" i="62"/>
  <c r="G39" i="62"/>
  <c r="F39" i="62"/>
  <c r="E39" i="62"/>
  <c r="D39" i="62"/>
  <c r="C39" i="62"/>
  <c r="L38" i="62"/>
  <c r="H38" i="62"/>
  <c r="H37" i="62"/>
  <c r="H36" i="62"/>
  <c r="H35" i="62"/>
  <c r="H34" i="62"/>
  <c r="H33" i="62"/>
  <c r="H32" i="62"/>
  <c r="H31" i="62"/>
  <c r="M30" i="62"/>
  <c r="H30" i="62"/>
  <c r="H28" i="62"/>
  <c r="G27" i="62"/>
  <c r="F27" i="62"/>
  <c r="E27" i="62"/>
  <c r="D27" i="62"/>
  <c r="D63" i="62" s="1"/>
  <c r="C27" i="62"/>
  <c r="M26" i="62"/>
  <c r="H26" i="62"/>
  <c r="H25" i="62"/>
  <c r="H24" i="62"/>
  <c r="H23" i="62"/>
  <c r="H22" i="62" s="1"/>
  <c r="J22" i="62"/>
  <c r="G22" i="62"/>
  <c r="F22" i="62"/>
  <c r="E22" i="62"/>
  <c r="D22" i="62"/>
  <c r="C22" i="62"/>
  <c r="M21" i="62"/>
  <c r="Q21" i="62" s="1"/>
  <c r="C21" i="62"/>
  <c r="H21" i="62" s="1"/>
  <c r="H20" i="62"/>
  <c r="H19" i="62"/>
  <c r="J18" i="62"/>
  <c r="G18" i="62"/>
  <c r="F18" i="62"/>
  <c r="E18" i="62"/>
  <c r="D18" i="62"/>
  <c r="C18" i="62"/>
  <c r="L17" i="62"/>
  <c r="P17" i="62" s="1"/>
  <c r="H17" i="62"/>
  <c r="M16" i="62"/>
  <c r="H16" i="62"/>
  <c r="L15" i="62"/>
  <c r="P15" i="62" s="1"/>
  <c r="H15" i="62"/>
  <c r="M14" i="62"/>
  <c r="H14" i="62"/>
  <c r="H13" i="62"/>
  <c r="H12" i="62"/>
  <c r="G9" i="62"/>
  <c r="J8" i="62"/>
  <c r="F8" i="62"/>
  <c r="E8" i="62"/>
  <c r="E63" i="62" s="1"/>
  <c r="D8" i="62"/>
  <c r="C8" i="62"/>
  <c r="M58" i="62" l="1"/>
  <c r="R58" i="62" s="1"/>
  <c r="N54" i="62"/>
  <c r="O54" i="62" s="1"/>
  <c r="R55" i="62"/>
  <c r="L56" i="62"/>
  <c r="P56" i="62" s="1"/>
  <c r="Q56" i="62" s="1"/>
  <c r="M57" i="62"/>
  <c r="L21" i="62"/>
  <c r="L26" i="62"/>
  <c r="R26" i="62" s="1"/>
  <c r="H44" i="62"/>
  <c r="G8" i="62"/>
  <c r="G63" i="62" s="1"/>
  <c r="L16" i="62"/>
  <c r="P16" i="62" s="1"/>
  <c r="Q16" i="62" s="1"/>
  <c r="M23" i="62"/>
  <c r="N55" i="62"/>
  <c r="L59" i="62"/>
  <c r="K59" i="62" s="1"/>
  <c r="P57" i="62"/>
  <c r="Q57" i="62" s="1"/>
  <c r="R57" i="62"/>
  <c r="L14" i="62"/>
  <c r="P14" i="62" s="1"/>
  <c r="M38" i="62"/>
  <c r="L42" i="62"/>
  <c r="N42" i="62" s="1"/>
  <c r="O42" i="62" s="1"/>
  <c r="L52" i="62"/>
  <c r="N52" i="62" s="1"/>
  <c r="R38" i="62"/>
  <c r="L23" i="62"/>
  <c r="K23" i="62" s="1"/>
  <c r="L30" i="62"/>
  <c r="P30" i="62" s="1"/>
  <c r="Q30" i="62" s="1"/>
  <c r="N38" i="62"/>
  <c r="Q55" i="62"/>
  <c r="N57" i="62"/>
  <c r="P38" i="62"/>
  <c r="Q14" i="62"/>
  <c r="N17" i="62"/>
  <c r="O17" i="62" s="1"/>
  <c r="N15" i="62"/>
  <c r="O15" i="62" s="1"/>
  <c r="H8" i="62"/>
  <c r="C63" i="62"/>
  <c r="P52" i="62"/>
  <c r="Q52" i="62" s="1"/>
  <c r="R52" i="62"/>
  <c r="H18" i="62"/>
  <c r="L28" i="62"/>
  <c r="N28" i="62" s="1"/>
  <c r="K15" i="62"/>
  <c r="K17" i="62"/>
  <c r="M28" i="62"/>
  <c r="L40" i="62"/>
  <c r="N40" i="62" s="1"/>
  <c r="M40" i="62"/>
  <c r="M43" i="62"/>
  <c r="P58" i="62"/>
  <c r="Q58" i="62" s="1"/>
  <c r="M15" i="62"/>
  <c r="Q15" i="62" s="1"/>
  <c r="M17" i="62"/>
  <c r="Q17" i="62" s="1"/>
  <c r="P18" i="62"/>
  <c r="H27" i="62"/>
  <c r="H39" i="62"/>
  <c r="N43" i="62"/>
  <c r="N58" i="62"/>
  <c r="F63" i="62"/>
  <c r="J63" i="62"/>
  <c r="P54" i="62"/>
  <c r="Q54" i="62" s="1"/>
  <c r="K54" i="62"/>
  <c r="R54" i="62"/>
  <c r="L61" i="62"/>
  <c r="P62" i="62"/>
  <c r="P61" i="62" s="1"/>
  <c r="L60" i="62"/>
  <c r="I61" i="62"/>
  <c r="M61" i="62" s="1"/>
  <c r="M62" i="62"/>
  <c r="N62" i="62"/>
  <c r="N61" i="62" s="1"/>
  <c r="N23" i="62" l="1"/>
  <c r="R30" i="62"/>
  <c r="N30" i="62"/>
  <c r="P23" i="62"/>
  <c r="R23" i="62"/>
  <c r="Q38" i="62"/>
  <c r="P42" i="62"/>
  <c r="Q42" i="62" s="1"/>
  <c r="R21" i="62"/>
  <c r="K16" i="62"/>
  <c r="N21" i="62"/>
  <c r="R16" i="62"/>
  <c r="R56" i="62"/>
  <c r="N56" i="62"/>
  <c r="K42" i="62"/>
  <c r="N26" i="62"/>
  <c r="O26" i="62" s="1"/>
  <c r="R42" i="62"/>
  <c r="K26" i="62"/>
  <c r="P26" i="62"/>
  <c r="Q26" i="62" s="1"/>
  <c r="N16" i="62"/>
  <c r="O16" i="62" s="1"/>
  <c r="R59" i="62"/>
  <c r="R14" i="62"/>
  <c r="P59" i="62"/>
  <c r="Q59" i="62" s="1"/>
  <c r="K14" i="62"/>
  <c r="N59" i="62"/>
  <c r="O59" i="62" s="1"/>
  <c r="R15" i="62"/>
  <c r="N14" i="62"/>
  <c r="O14" i="62" s="1"/>
  <c r="K28" i="62"/>
  <c r="P28" i="62"/>
  <c r="R28" i="62"/>
  <c r="O23" i="62"/>
  <c r="Q23" i="62"/>
  <c r="O28" i="62"/>
  <c r="Q62" i="62"/>
  <c r="Q61" i="62" s="1"/>
  <c r="R40" i="62"/>
  <c r="P60" i="62"/>
  <c r="Q60" i="62" s="1"/>
  <c r="R60" i="62"/>
  <c r="N60" i="62"/>
  <c r="R17" i="62"/>
  <c r="Q43" i="62"/>
  <c r="R43" i="62"/>
  <c r="P40" i="62"/>
  <c r="H63" i="62"/>
  <c r="T12" i="56"/>
  <c r="T11" i="56"/>
  <c r="T9" i="56"/>
  <c r="T10" i="56"/>
  <c r="Q40" i="62" l="1"/>
  <c r="Q28" i="62"/>
  <c r="G8" i="56"/>
  <c r="G67" i="56" l="1"/>
  <c r="G25" i="56"/>
  <c r="G24" i="56"/>
  <c r="U8" i="56"/>
  <c r="N13" i="56"/>
  <c r="T31" i="56" l="1"/>
  <c r="U31" i="56" s="1"/>
  <c r="T27" i="56"/>
  <c r="U27" i="56" s="1"/>
  <c r="T26" i="56"/>
  <c r="T24" i="56"/>
  <c r="U24" i="56" s="1"/>
  <c r="P25" i="61"/>
  <c r="P19" i="61"/>
  <c r="P18" i="61"/>
  <c r="Q25" i="61"/>
  <c r="M27" i="61"/>
  <c r="P27" i="61"/>
  <c r="P22" i="61"/>
  <c r="N10" i="15"/>
  <c r="J758" i="15"/>
  <c r="J757" i="15" s="1"/>
  <c r="J615" i="15"/>
  <c r="J632" i="15"/>
  <c r="J648" i="15"/>
  <c r="J664" i="15"/>
  <c r="J680" i="15"/>
  <c r="J696" i="15"/>
  <c r="J711" i="15"/>
  <c r="J731" i="15"/>
  <c r="F748" i="15"/>
  <c r="G748" i="15"/>
  <c r="H748" i="15"/>
  <c r="I748" i="15" s="1"/>
  <c r="J561" i="15"/>
  <c r="J571" i="15"/>
  <c r="J588" i="15"/>
  <c r="J24" i="53" s="1"/>
  <c r="J589" i="15"/>
  <c r="J590" i="15"/>
  <c r="J604" i="15"/>
  <c r="J258" i="15"/>
  <c r="J280" i="15"/>
  <c r="J378" i="15"/>
  <c r="J398" i="15"/>
  <c r="J412" i="15"/>
  <c r="J450" i="15"/>
  <c r="J481" i="15"/>
  <c r="J498" i="15"/>
  <c r="J507" i="15"/>
  <c r="J517" i="15"/>
  <c r="J524" i="15"/>
  <c r="J530" i="15"/>
  <c r="J535" i="15"/>
  <c r="J539" i="15"/>
  <c r="J543" i="15"/>
  <c r="J216" i="15"/>
  <c r="J247" i="15"/>
  <c r="J183" i="15"/>
  <c r="J200" i="15"/>
  <c r="J5" i="15"/>
  <c r="J7" i="15"/>
  <c r="J9" i="15"/>
  <c r="J33" i="15"/>
  <c r="J49" i="15"/>
  <c r="J68" i="15"/>
  <c r="J86" i="15"/>
  <c r="J109" i="15"/>
  <c r="J131" i="15"/>
  <c r="J171" i="15"/>
  <c r="G615" i="15"/>
  <c r="G632" i="15"/>
  <c r="G648" i="15"/>
  <c r="G664" i="15"/>
  <c r="G680" i="15"/>
  <c r="G696" i="15"/>
  <c r="G711" i="15"/>
  <c r="G731" i="15"/>
  <c r="G561" i="15"/>
  <c r="G571" i="15"/>
  <c r="G587" i="15"/>
  <c r="G604" i="15"/>
  <c r="G258" i="15"/>
  <c r="G280" i="15"/>
  <c r="G378" i="15"/>
  <c r="G398" i="15"/>
  <c r="G412" i="15"/>
  <c r="G481" i="15"/>
  <c r="G450" i="15" s="1"/>
  <c r="G498" i="15"/>
  <c r="G507" i="15"/>
  <c r="G517" i="15"/>
  <c r="G524" i="15"/>
  <c r="G530" i="15"/>
  <c r="G535" i="15"/>
  <c r="G539" i="15"/>
  <c r="G543" i="15"/>
  <c r="G216" i="15"/>
  <c r="G227" i="15"/>
  <c r="G247" i="15"/>
  <c r="G183" i="15"/>
  <c r="G200" i="15"/>
  <c r="G4" i="15"/>
  <c r="G33" i="15"/>
  <c r="G49" i="15"/>
  <c r="G68" i="15"/>
  <c r="G86" i="15"/>
  <c r="G109" i="15"/>
  <c r="G131" i="15"/>
  <c r="G171" i="15"/>
  <c r="G758" i="15"/>
  <c r="G757" i="15" s="1"/>
  <c r="H615" i="15"/>
  <c r="H632" i="15"/>
  <c r="H648" i="15"/>
  <c r="H664" i="15"/>
  <c r="H680" i="15"/>
  <c r="H696" i="15"/>
  <c r="H711" i="15"/>
  <c r="H731" i="15"/>
  <c r="H561" i="15"/>
  <c r="H571" i="15"/>
  <c r="H587" i="15"/>
  <c r="H604" i="15"/>
  <c r="H258" i="15"/>
  <c r="H280" i="15"/>
  <c r="H378" i="15"/>
  <c r="H398" i="15"/>
  <c r="H412" i="15"/>
  <c r="H450" i="15"/>
  <c r="H481" i="15"/>
  <c r="H498" i="15"/>
  <c r="H507" i="15"/>
  <c r="H517" i="15"/>
  <c r="H524" i="15"/>
  <c r="H530" i="15"/>
  <c r="H535" i="15"/>
  <c r="H539" i="15"/>
  <c r="H543" i="15"/>
  <c r="H216" i="15"/>
  <c r="H227" i="15"/>
  <c r="H247" i="15"/>
  <c r="H183" i="15"/>
  <c r="H200" i="15"/>
  <c r="H4" i="15"/>
  <c r="H33" i="15"/>
  <c r="H49" i="15"/>
  <c r="H68" i="15"/>
  <c r="H86" i="15"/>
  <c r="H109" i="15"/>
  <c r="H131" i="15"/>
  <c r="H171" i="15"/>
  <c r="H758" i="15"/>
  <c r="H757" i="15" s="1"/>
  <c r="J9" i="60"/>
  <c r="J8" i="61"/>
  <c r="J61" i="61"/>
  <c r="J44" i="53"/>
  <c r="I44" i="54" s="1"/>
  <c r="I44" i="60" s="1"/>
  <c r="I44" i="61" s="1"/>
  <c r="I46" i="62" s="1"/>
  <c r="I46" i="63" s="1"/>
  <c r="I46" i="64" s="1"/>
  <c r="J45" i="53"/>
  <c r="I45" i="54" s="1"/>
  <c r="I45" i="60" s="1"/>
  <c r="J46" i="53"/>
  <c r="M46" i="53" s="1"/>
  <c r="J47" i="53"/>
  <c r="I47" i="54" s="1"/>
  <c r="I47" i="60" s="1"/>
  <c r="M47" i="60" s="1"/>
  <c r="J48" i="53"/>
  <c r="J49" i="53"/>
  <c r="I49" i="54" s="1"/>
  <c r="I49" i="60" s="1"/>
  <c r="M49" i="60" s="1"/>
  <c r="I50" i="61"/>
  <c r="J51" i="53"/>
  <c r="I51" i="54" s="1"/>
  <c r="I51" i="60" s="1"/>
  <c r="I52" i="61"/>
  <c r="I53" i="61"/>
  <c r="I54" i="61"/>
  <c r="I55" i="61"/>
  <c r="I56" i="61"/>
  <c r="I57" i="61"/>
  <c r="I58" i="61"/>
  <c r="J43" i="53"/>
  <c r="I43" i="54" s="1"/>
  <c r="J39" i="53"/>
  <c r="I39" i="54" s="1"/>
  <c r="I39" i="60" s="1"/>
  <c r="I37" i="60" s="1"/>
  <c r="I40" i="61"/>
  <c r="I41" i="61"/>
  <c r="I38" i="61"/>
  <c r="I28" i="61"/>
  <c r="J29" i="53"/>
  <c r="I29" i="54" s="1"/>
  <c r="J30" i="53"/>
  <c r="J31" i="53"/>
  <c r="I31" i="54" s="1"/>
  <c r="J32" i="53"/>
  <c r="I32" i="54" s="1"/>
  <c r="I32" i="60" s="1"/>
  <c r="J33" i="53"/>
  <c r="I33" i="54" s="1"/>
  <c r="J34" i="53"/>
  <c r="L34" i="53" s="1"/>
  <c r="J35" i="53"/>
  <c r="I35" i="54" s="1"/>
  <c r="I36" i="61"/>
  <c r="I27" i="61"/>
  <c r="J23" i="53"/>
  <c r="M23" i="53" s="1"/>
  <c r="I25" i="61"/>
  <c r="I22" i="61"/>
  <c r="J19" i="53"/>
  <c r="I20" i="61"/>
  <c r="J18" i="53"/>
  <c r="J10" i="53"/>
  <c r="I10" i="54" s="1"/>
  <c r="J11" i="53"/>
  <c r="I11" i="54" s="1"/>
  <c r="J12" i="53"/>
  <c r="I12" i="54" s="1"/>
  <c r="I13" i="61"/>
  <c r="I14" i="61"/>
  <c r="I15" i="61"/>
  <c r="I16" i="61"/>
  <c r="G9" i="61"/>
  <c r="L20" i="61"/>
  <c r="M20" i="61"/>
  <c r="R20" i="61"/>
  <c r="L22" i="61"/>
  <c r="M22" i="61"/>
  <c r="R22" i="61"/>
  <c r="L25" i="61"/>
  <c r="M25" i="61"/>
  <c r="R25" i="61"/>
  <c r="L27" i="61"/>
  <c r="R27" i="61"/>
  <c r="L28" i="61"/>
  <c r="M28" i="61"/>
  <c r="R28" i="61"/>
  <c r="L36" i="61"/>
  <c r="M36" i="61"/>
  <c r="R36" i="61"/>
  <c r="L38" i="61"/>
  <c r="L40" i="61"/>
  <c r="L41" i="61"/>
  <c r="M38" i="61"/>
  <c r="M40" i="61"/>
  <c r="M41" i="61"/>
  <c r="R38" i="61"/>
  <c r="R40" i="61"/>
  <c r="R41" i="61"/>
  <c r="L50" i="61"/>
  <c r="L52" i="61"/>
  <c r="L53" i="61"/>
  <c r="L54" i="61"/>
  <c r="L55" i="61"/>
  <c r="L56" i="61"/>
  <c r="L57" i="61"/>
  <c r="L58" i="61"/>
  <c r="M50" i="61"/>
  <c r="M52" i="61"/>
  <c r="M53" i="61"/>
  <c r="M54" i="61"/>
  <c r="M55" i="61"/>
  <c r="M56" i="61"/>
  <c r="M57" i="61"/>
  <c r="M58" i="61"/>
  <c r="R50" i="61"/>
  <c r="R52" i="61"/>
  <c r="R53" i="61"/>
  <c r="R54" i="61"/>
  <c r="R55" i="61"/>
  <c r="R56" i="61"/>
  <c r="R57" i="61"/>
  <c r="R58" i="61"/>
  <c r="R59" i="61"/>
  <c r="M13" i="61"/>
  <c r="L13" i="61"/>
  <c r="P13" i="61"/>
  <c r="Q13" i="61"/>
  <c r="M14" i="61"/>
  <c r="L14" i="61"/>
  <c r="P14" i="61"/>
  <c r="Q14" i="61"/>
  <c r="M15" i="61"/>
  <c r="L15" i="61"/>
  <c r="P15" i="61"/>
  <c r="Q15" i="61"/>
  <c r="M16" i="61"/>
  <c r="R16" i="61" s="1"/>
  <c r="L16" i="61"/>
  <c r="P16" i="61" s="1"/>
  <c r="Q20" i="61"/>
  <c r="P38" i="61"/>
  <c r="Q38" i="61"/>
  <c r="P40" i="61"/>
  <c r="Q40" i="61"/>
  <c r="P41" i="61"/>
  <c r="Q41" i="61"/>
  <c r="P50" i="61"/>
  <c r="Q50" i="61"/>
  <c r="P52" i="61"/>
  <c r="Q52" i="61"/>
  <c r="P53" i="61"/>
  <c r="Q53" i="61"/>
  <c r="P54" i="61"/>
  <c r="Q54" i="61"/>
  <c r="P55" i="61"/>
  <c r="Q55" i="61"/>
  <c r="P56" i="61"/>
  <c r="Q56" i="61"/>
  <c r="P57" i="61"/>
  <c r="Q57" i="61"/>
  <c r="P58" i="61"/>
  <c r="Q58" i="61"/>
  <c r="Q22" i="61"/>
  <c r="Q27" i="61"/>
  <c r="P28" i="61"/>
  <c r="Q28" i="61"/>
  <c r="P36" i="61"/>
  <c r="Q36" i="61"/>
  <c r="I60" i="61"/>
  <c r="M60" i="61"/>
  <c r="L60" i="61"/>
  <c r="P60" i="61"/>
  <c r="Q60" i="61"/>
  <c r="Q59" i="61"/>
  <c r="P17" i="61"/>
  <c r="P59" i="61"/>
  <c r="H9" i="61"/>
  <c r="H10" i="61"/>
  <c r="H11" i="61"/>
  <c r="H12" i="61"/>
  <c r="H13" i="61"/>
  <c r="N13" i="61"/>
  <c r="H14" i="61"/>
  <c r="N14" i="61"/>
  <c r="H15" i="61"/>
  <c r="N15" i="61"/>
  <c r="H16" i="61"/>
  <c r="N16" i="61" s="1"/>
  <c r="O16" i="61" s="1"/>
  <c r="H18" i="61"/>
  <c r="H19" i="61"/>
  <c r="C20" i="61"/>
  <c r="H20" i="61"/>
  <c r="N20" i="61"/>
  <c r="H38" i="61"/>
  <c r="N38" i="61"/>
  <c r="H39" i="61"/>
  <c r="H40" i="61"/>
  <c r="N40" i="61"/>
  <c r="H41" i="61"/>
  <c r="N41" i="61"/>
  <c r="H43" i="61"/>
  <c r="H44" i="61"/>
  <c r="H45" i="61"/>
  <c r="C46" i="61"/>
  <c r="H46" i="61"/>
  <c r="H47" i="61"/>
  <c r="H48" i="61"/>
  <c r="H49" i="61"/>
  <c r="H50" i="61"/>
  <c r="N50" i="61"/>
  <c r="H51" i="61"/>
  <c r="H52" i="61"/>
  <c r="N52" i="61"/>
  <c r="H53" i="61"/>
  <c r="N53" i="61"/>
  <c r="H54" i="61"/>
  <c r="N54" i="61"/>
  <c r="H55" i="61"/>
  <c r="N55" i="61"/>
  <c r="H56" i="61"/>
  <c r="N56" i="61"/>
  <c r="H57" i="61"/>
  <c r="N57" i="61"/>
  <c r="H58" i="61"/>
  <c r="N58" i="61"/>
  <c r="H22" i="61"/>
  <c r="N22" i="61"/>
  <c r="H23" i="61"/>
  <c r="H24" i="61"/>
  <c r="H25" i="61"/>
  <c r="N25" i="61"/>
  <c r="H27" i="61"/>
  <c r="N27" i="61"/>
  <c r="H28" i="61"/>
  <c r="N28" i="61"/>
  <c r="H29" i="61"/>
  <c r="H30" i="61"/>
  <c r="H31" i="61"/>
  <c r="H32" i="61"/>
  <c r="H33" i="61"/>
  <c r="H34" i="61"/>
  <c r="H35" i="61"/>
  <c r="H36" i="61"/>
  <c r="N36" i="61"/>
  <c r="H60" i="61"/>
  <c r="N60" i="61"/>
  <c r="N59" i="61"/>
  <c r="H17" i="61"/>
  <c r="H37" i="61"/>
  <c r="H42" i="61"/>
  <c r="H21" i="61"/>
  <c r="H26" i="61"/>
  <c r="H59" i="61"/>
  <c r="I59" i="61"/>
  <c r="J59" i="61"/>
  <c r="M59" i="61"/>
  <c r="L59" i="61"/>
  <c r="J17" i="61"/>
  <c r="J37" i="61"/>
  <c r="J42" i="61"/>
  <c r="J21" i="61"/>
  <c r="J26" i="61"/>
  <c r="G8" i="61"/>
  <c r="G17" i="61"/>
  <c r="G37" i="61"/>
  <c r="G42" i="61"/>
  <c r="G21" i="61"/>
  <c r="G26" i="61"/>
  <c r="G59" i="61"/>
  <c r="G61" i="61"/>
  <c r="F8" i="61"/>
  <c r="F17" i="61"/>
  <c r="F37" i="61"/>
  <c r="F42" i="61"/>
  <c r="F21" i="61"/>
  <c r="F26" i="61"/>
  <c r="F59" i="61"/>
  <c r="F61" i="61"/>
  <c r="E8" i="61"/>
  <c r="E17" i="61"/>
  <c r="E37" i="61"/>
  <c r="E42" i="61"/>
  <c r="E21" i="61"/>
  <c r="E26" i="61"/>
  <c r="E59" i="61"/>
  <c r="E61" i="61"/>
  <c r="D26" i="61"/>
  <c r="D61" i="61"/>
  <c r="C26" i="61"/>
  <c r="C21" i="61"/>
  <c r="C42" i="61"/>
  <c r="C17" i="61"/>
  <c r="C37" i="61"/>
  <c r="C8" i="61"/>
  <c r="C61" i="61" s="1"/>
  <c r="C59" i="61"/>
  <c r="K59" i="61"/>
  <c r="D59" i="61"/>
  <c r="O57" i="61"/>
  <c r="K57" i="61"/>
  <c r="O52" i="61"/>
  <c r="K52" i="61"/>
  <c r="D42" i="61"/>
  <c r="O40" i="61"/>
  <c r="K40" i="61"/>
  <c r="D37" i="61"/>
  <c r="O27" i="61"/>
  <c r="K27" i="61"/>
  <c r="O25" i="61"/>
  <c r="K25" i="61"/>
  <c r="O22" i="61"/>
  <c r="K22" i="61"/>
  <c r="D21" i="61"/>
  <c r="D17" i="61"/>
  <c r="K16" i="61"/>
  <c r="R15" i="61"/>
  <c r="O15" i="61"/>
  <c r="K15" i="61"/>
  <c r="R14" i="61"/>
  <c r="O14" i="61"/>
  <c r="K14" i="61"/>
  <c r="R13" i="61"/>
  <c r="O13" i="61"/>
  <c r="K13" i="61"/>
  <c r="D8" i="61"/>
  <c r="T66" i="56"/>
  <c r="T75" i="56"/>
  <c r="U75" i="56" s="1"/>
  <c r="G75" i="56"/>
  <c r="T73" i="56"/>
  <c r="U73" i="56" s="1"/>
  <c r="G73" i="56"/>
  <c r="T74" i="56"/>
  <c r="U74" i="56" s="1"/>
  <c r="G74" i="56"/>
  <c r="T72" i="56"/>
  <c r="U72" i="56" s="1"/>
  <c r="G72" i="56"/>
  <c r="T71" i="56"/>
  <c r="U71" i="56" s="1"/>
  <c r="G71" i="56"/>
  <c r="T32" i="56"/>
  <c r="T28" i="56"/>
  <c r="T29" i="56"/>
  <c r="U29" i="56" s="1"/>
  <c r="T30" i="56"/>
  <c r="U30" i="56" s="1"/>
  <c r="G26" i="56"/>
  <c r="G27" i="56"/>
  <c r="G28" i="56"/>
  <c r="G29" i="56"/>
  <c r="G30" i="56"/>
  <c r="G31" i="56"/>
  <c r="G32" i="56"/>
  <c r="I8" i="56"/>
  <c r="P19" i="60"/>
  <c r="P18" i="60"/>
  <c r="J23" i="60"/>
  <c r="J24" i="60"/>
  <c r="J21" i="60"/>
  <c r="J10" i="60"/>
  <c r="J11" i="60"/>
  <c r="J8" i="60"/>
  <c r="J17" i="60"/>
  <c r="J37" i="60"/>
  <c r="J42" i="60"/>
  <c r="J29" i="60"/>
  <c r="J30" i="60"/>
  <c r="J31" i="60"/>
  <c r="J32" i="60"/>
  <c r="J33" i="60"/>
  <c r="J34" i="60"/>
  <c r="J35" i="60"/>
  <c r="J26" i="60"/>
  <c r="J59" i="60"/>
  <c r="J61" i="60"/>
  <c r="I13" i="54"/>
  <c r="I13" i="60"/>
  <c r="L13" i="60"/>
  <c r="H13" i="60"/>
  <c r="K13" i="60"/>
  <c r="K59" i="60"/>
  <c r="I20" i="54"/>
  <c r="I20" i="60"/>
  <c r="I14" i="54"/>
  <c r="I14" i="60"/>
  <c r="M14" i="60"/>
  <c r="I15" i="54"/>
  <c r="I15" i="60"/>
  <c r="I16" i="54"/>
  <c r="I16" i="60"/>
  <c r="I25" i="54"/>
  <c r="I25" i="60"/>
  <c r="M25" i="60"/>
  <c r="I22" i="54"/>
  <c r="I22" i="60"/>
  <c r="I28" i="54"/>
  <c r="I28" i="60"/>
  <c r="I36" i="54"/>
  <c r="I36" i="60"/>
  <c r="M36" i="60"/>
  <c r="I27" i="54"/>
  <c r="I27" i="60"/>
  <c r="L27" i="60"/>
  <c r="P27" i="60"/>
  <c r="I40" i="54"/>
  <c r="I40" i="60"/>
  <c r="I41" i="54"/>
  <c r="I41" i="60"/>
  <c r="M41" i="60"/>
  <c r="I38" i="54"/>
  <c r="I38" i="60"/>
  <c r="M38" i="60"/>
  <c r="I50" i="54"/>
  <c r="I50" i="60"/>
  <c r="M50" i="60"/>
  <c r="I52" i="54"/>
  <c r="I52" i="60"/>
  <c r="M52" i="60"/>
  <c r="I53" i="54"/>
  <c r="I53" i="60"/>
  <c r="I54" i="54"/>
  <c r="I54" i="60"/>
  <c r="L54" i="60"/>
  <c r="I55" i="54"/>
  <c r="I55" i="60"/>
  <c r="M55" i="60"/>
  <c r="I56" i="54"/>
  <c r="I56" i="60"/>
  <c r="I57" i="54"/>
  <c r="I57" i="60"/>
  <c r="I58" i="54"/>
  <c r="I58" i="60"/>
  <c r="M58" i="60"/>
  <c r="I60" i="60"/>
  <c r="L60" i="60"/>
  <c r="G9" i="60"/>
  <c r="G8" i="60"/>
  <c r="H60" i="60"/>
  <c r="H59" i="60"/>
  <c r="R59" i="60"/>
  <c r="G59" i="60"/>
  <c r="F59" i="60"/>
  <c r="E59" i="60"/>
  <c r="D59" i="60"/>
  <c r="C59" i="60"/>
  <c r="H58" i="60"/>
  <c r="H57" i="60"/>
  <c r="M56" i="60"/>
  <c r="H56" i="60"/>
  <c r="H55" i="60"/>
  <c r="H54" i="60"/>
  <c r="L53" i="60"/>
  <c r="P53" i="60"/>
  <c r="M53" i="60"/>
  <c r="H53" i="60"/>
  <c r="L52" i="60"/>
  <c r="P52" i="60"/>
  <c r="H52" i="60"/>
  <c r="H51" i="60"/>
  <c r="H50" i="60"/>
  <c r="H49" i="60"/>
  <c r="H48" i="60"/>
  <c r="H47" i="60"/>
  <c r="C46" i="60"/>
  <c r="H46" i="60"/>
  <c r="H45" i="60"/>
  <c r="H44" i="60"/>
  <c r="H43" i="60"/>
  <c r="G42" i="60"/>
  <c r="F42" i="60"/>
  <c r="E42" i="60"/>
  <c r="D42" i="60"/>
  <c r="C42" i="60"/>
  <c r="L41" i="60"/>
  <c r="P41" i="60"/>
  <c r="H41" i="60"/>
  <c r="H40" i="60"/>
  <c r="H39" i="60"/>
  <c r="H38" i="60"/>
  <c r="G37" i="60"/>
  <c r="F37" i="60"/>
  <c r="E37" i="60"/>
  <c r="D37" i="60"/>
  <c r="C37" i="60"/>
  <c r="H36" i="60"/>
  <c r="H35" i="60"/>
  <c r="H34" i="60"/>
  <c r="H33" i="60"/>
  <c r="H32" i="60"/>
  <c r="H31" i="60"/>
  <c r="H30" i="60"/>
  <c r="H29" i="60"/>
  <c r="L28" i="60"/>
  <c r="P28" i="60"/>
  <c r="H28" i="60"/>
  <c r="M27" i="60"/>
  <c r="H27" i="60"/>
  <c r="G26" i="60"/>
  <c r="F26" i="60"/>
  <c r="E26" i="60"/>
  <c r="D26" i="60"/>
  <c r="D61" i="60"/>
  <c r="C26" i="60"/>
  <c r="H25" i="60"/>
  <c r="H24" i="60"/>
  <c r="H23" i="60"/>
  <c r="M22" i="60"/>
  <c r="P22" i="60"/>
  <c r="Q22" i="60"/>
  <c r="L22" i="60"/>
  <c r="H22" i="60"/>
  <c r="G21" i="60"/>
  <c r="F21" i="60"/>
  <c r="E21" i="60"/>
  <c r="D21" i="60"/>
  <c r="C21" i="60"/>
  <c r="M20" i="60"/>
  <c r="L20" i="60"/>
  <c r="C20" i="60"/>
  <c r="H20" i="60"/>
  <c r="C17" i="60"/>
  <c r="H19" i="60"/>
  <c r="H18" i="60"/>
  <c r="G17" i="60"/>
  <c r="F17" i="60"/>
  <c r="E17" i="60"/>
  <c r="D17" i="60"/>
  <c r="M16" i="60"/>
  <c r="H16" i="60"/>
  <c r="L15" i="60"/>
  <c r="H15" i="60"/>
  <c r="K15" i="60"/>
  <c r="M15" i="60"/>
  <c r="H14" i="60"/>
  <c r="H12" i="60"/>
  <c r="H11" i="60"/>
  <c r="H10" i="60"/>
  <c r="F8" i="60"/>
  <c r="E8" i="60"/>
  <c r="D8" i="60"/>
  <c r="C8" i="60"/>
  <c r="L58" i="60"/>
  <c r="P58" i="60"/>
  <c r="L36" i="60"/>
  <c r="P36" i="60"/>
  <c r="M54" i="60"/>
  <c r="E61" i="60"/>
  <c r="F61" i="60"/>
  <c r="Q27" i="60"/>
  <c r="L38" i="60"/>
  <c r="N36" i="60"/>
  <c r="L25" i="60"/>
  <c r="P25" i="60"/>
  <c r="Q25" i="60"/>
  <c r="M13" i="60"/>
  <c r="R13" i="60"/>
  <c r="Q52" i="60"/>
  <c r="Q53" i="60"/>
  <c r="H37" i="60"/>
  <c r="H9" i="60"/>
  <c r="R54" i="60"/>
  <c r="N52" i="60"/>
  <c r="O52" i="60"/>
  <c r="R53" i="60"/>
  <c r="N58" i="60"/>
  <c r="R41" i="60"/>
  <c r="N41" i="60"/>
  <c r="Q36" i="60"/>
  <c r="N20" i="60"/>
  <c r="N13" i="60"/>
  <c r="O13" i="60"/>
  <c r="N15" i="60"/>
  <c r="O15" i="60"/>
  <c r="H8" i="60"/>
  <c r="R20" i="60"/>
  <c r="P20" i="60"/>
  <c r="Q20" i="60"/>
  <c r="P13" i="60"/>
  <c r="P15" i="60"/>
  <c r="Q15" i="60"/>
  <c r="R25" i="60"/>
  <c r="G61" i="60"/>
  <c r="N22" i="60"/>
  <c r="H21" i="60"/>
  <c r="C61" i="60"/>
  <c r="R27" i="60"/>
  <c r="K27" i="60"/>
  <c r="N28" i="60"/>
  <c r="R36" i="60"/>
  <c r="L40" i="60"/>
  <c r="M40" i="60"/>
  <c r="Q41" i="60"/>
  <c r="R52" i="60"/>
  <c r="K52" i="60"/>
  <c r="N53" i="60"/>
  <c r="P54" i="60"/>
  <c r="Q54" i="60"/>
  <c r="L55" i="60"/>
  <c r="N55" i="60"/>
  <c r="Q58" i="60"/>
  <c r="R22" i="60"/>
  <c r="L14" i="60"/>
  <c r="K14" i="60"/>
  <c r="R15" i="60"/>
  <c r="L16" i="60"/>
  <c r="K16" i="60"/>
  <c r="H17" i="60"/>
  <c r="M28" i="60"/>
  <c r="Q28" i="60"/>
  <c r="H42" i="60"/>
  <c r="L50" i="60"/>
  <c r="N54" i="60"/>
  <c r="L56" i="60"/>
  <c r="L57" i="60"/>
  <c r="M57" i="60"/>
  <c r="K22" i="60"/>
  <c r="N27" i="60"/>
  <c r="H26" i="60"/>
  <c r="P38" i="60"/>
  <c r="Q38" i="60"/>
  <c r="R58" i="60"/>
  <c r="L59" i="60"/>
  <c r="P60" i="60"/>
  <c r="P59" i="60"/>
  <c r="I59" i="60"/>
  <c r="M59" i="60"/>
  <c r="M60" i="60"/>
  <c r="N60" i="60"/>
  <c r="N59" i="60"/>
  <c r="Q13" i="60"/>
  <c r="N38" i="60"/>
  <c r="R38" i="60"/>
  <c r="K25" i="60"/>
  <c r="R28" i="60"/>
  <c r="N25" i="60"/>
  <c r="O25" i="60"/>
  <c r="H61" i="60"/>
  <c r="Q60" i="60"/>
  <c r="Q59" i="60"/>
  <c r="R56" i="60"/>
  <c r="P56" i="60"/>
  <c r="Q56" i="60"/>
  <c r="R50" i="60"/>
  <c r="P50" i="60"/>
  <c r="Q50" i="60"/>
  <c r="P14" i="60"/>
  <c r="Q14" i="60"/>
  <c r="R14" i="60"/>
  <c r="N14" i="60"/>
  <c r="O14" i="60"/>
  <c r="R55" i="60"/>
  <c r="P55" i="60"/>
  <c r="Q55" i="60"/>
  <c r="P40" i="60"/>
  <c r="N40" i="60"/>
  <c r="O40" i="60"/>
  <c r="K40" i="60"/>
  <c r="R40" i="60"/>
  <c r="O27" i="60"/>
  <c r="O22" i="60"/>
  <c r="P57" i="60"/>
  <c r="Q57" i="60"/>
  <c r="K57" i="60"/>
  <c r="R57" i="60"/>
  <c r="N57" i="60"/>
  <c r="O57" i="60"/>
  <c r="P16" i="60"/>
  <c r="Q16" i="60"/>
  <c r="R16" i="60"/>
  <c r="N16" i="60"/>
  <c r="O16" i="60"/>
  <c r="N50" i="60"/>
  <c r="N56" i="60"/>
  <c r="G78" i="56"/>
  <c r="T78" i="56"/>
  <c r="U78" i="56" s="1"/>
  <c r="T77" i="56"/>
  <c r="U77" i="56" s="1"/>
  <c r="S77" i="56"/>
  <c r="R77" i="56"/>
  <c r="Q77" i="56"/>
  <c r="P77" i="56"/>
  <c r="O77" i="56"/>
  <c r="N77" i="56"/>
  <c r="M77" i="56"/>
  <c r="L77" i="56"/>
  <c r="K77" i="56"/>
  <c r="G77" i="56"/>
  <c r="F77" i="56"/>
  <c r="E77" i="56"/>
  <c r="D77" i="56"/>
  <c r="C77" i="56"/>
  <c r="G76" i="56"/>
  <c r="R76" i="56"/>
  <c r="R65" i="56"/>
  <c r="T70" i="56"/>
  <c r="U70" i="56" s="1"/>
  <c r="G70" i="56"/>
  <c r="T69" i="56"/>
  <c r="U69" i="56" s="1"/>
  <c r="G69" i="56"/>
  <c r="G68" i="56"/>
  <c r="U68" i="56"/>
  <c r="G66" i="56"/>
  <c r="P65" i="56"/>
  <c r="O65" i="56"/>
  <c r="N65" i="56"/>
  <c r="M65" i="56"/>
  <c r="L65" i="56"/>
  <c r="K65" i="56"/>
  <c r="F65" i="56"/>
  <c r="E65" i="56"/>
  <c r="E33" i="56"/>
  <c r="E38" i="56"/>
  <c r="E43" i="56"/>
  <c r="E60" i="56"/>
  <c r="E23" i="56"/>
  <c r="E79" i="56"/>
  <c r="D65" i="56"/>
  <c r="C65" i="56"/>
  <c r="T64" i="56"/>
  <c r="U64" i="56" s="1"/>
  <c r="G64" i="56"/>
  <c r="T63" i="56"/>
  <c r="U63" i="56" s="1"/>
  <c r="G63" i="56"/>
  <c r="T62" i="56"/>
  <c r="U62" i="56" s="1"/>
  <c r="G62" i="56"/>
  <c r="T61" i="56"/>
  <c r="G61" i="56"/>
  <c r="G60" i="56" s="1"/>
  <c r="S60" i="56"/>
  <c r="R60" i="56"/>
  <c r="Q60" i="56"/>
  <c r="P60" i="56"/>
  <c r="O60" i="56"/>
  <c r="N60" i="56"/>
  <c r="M60" i="56"/>
  <c r="L60" i="56"/>
  <c r="K60" i="56"/>
  <c r="F60" i="56"/>
  <c r="D60" i="56"/>
  <c r="C60" i="56"/>
  <c r="C47" i="56"/>
  <c r="C43" i="56"/>
  <c r="C38" i="56"/>
  <c r="C33" i="56"/>
  <c r="C23" i="56"/>
  <c r="T59" i="56"/>
  <c r="U59" i="56" s="1"/>
  <c r="G59" i="56"/>
  <c r="T58" i="56"/>
  <c r="U58" i="56" s="1"/>
  <c r="G58" i="56"/>
  <c r="T57" i="56"/>
  <c r="G57" i="56"/>
  <c r="T56" i="56"/>
  <c r="G56" i="56"/>
  <c r="U56" i="56" s="1"/>
  <c r="T55" i="56"/>
  <c r="U55" i="56" s="1"/>
  <c r="G55" i="56"/>
  <c r="T54" i="56"/>
  <c r="U54" i="56" s="1"/>
  <c r="G54" i="56"/>
  <c r="T53" i="56"/>
  <c r="G53" i="56"/>
  <c r="T52" i="56"/>
  <c r="G52" i="56"/>
  <c r="T51" i="56"/>
  <c r="U51" i="56" s="1"/>
  <c r="G51" i="56"/>
  <c r="T50" i="56"/>
  <c r="U50" i="56" s="1"/>
  <c r="G50" i="56"/>
  <c r="T49" i="56"/>
  <c r="G49" i="56"/>
  <c r="T48" i="56"/>
  <c r="G48" i="56"/>
  <c r="T47" i="56"/>
  <c r="U47" i="56" s="1"/>
  <c r="G47" i="56"/>
  <c r="T46" i="56"/>
  <c r="U46" i="56" s="1"/>
  <c r="G46" i="56"/>
  <c r="T45" i="56"/>
  <c r="G45" i="56"/>
  <c r="T44" i="56"/>
  <c r="U44" i="56" s="1"/>
  <c r="G44" i="56"/>
  <c r="S43" i="56"/>
  <c r="R43" i="56"/>
  <c r="R37" i="56" s="1"/>
  <c r="Q43" i="56"/>
  <c r="P43" i="56"/>
  <c r="P37" i="56" s="1"/>
  <c r="O43" i="56"/>
  <c r="O37" i="56" s="1"/>
  <c r="N43" i="56"/>
  <c r="N37" i="56" s="1"/>
  <c r="M43" i="56"/>
  <c r="L43" i="56"/>
  <c r="K43" i="56"/>
  <c r="F43" i="56"/>
  <c r="D43" i="56"/>
  <c r="G42" i="56"/>
  <c r="T41" i="56"/>
  <c r="U41" i="56" s="1"/>
  <c r="G41" i="56"/>
  <c r="T40" i="56"/>
  <c r="U40" i="56" s="1"/>
  <c r="G40" i="56"/>
  <c r="T39" i="56"/>
  <c r="U39" i="56" s="1"/>
  <c r="G39" i="56"/>
  <c r="K38" i="56"/>
  <c r="K37" i="56"/>
  <c r="F38" i="56"/>
  <c r="D38" i="56"/>
  <c r="D37" i="56"/>
  <c r="C37" i="56"/>
  <c r="F37" i="56"/>
  <c r="E37" i="56"/>
  <c r="G36" i="56"/>
  <c r="T35" i="56"/>
  <c r="U35" i="56" s="1"/>
  <c r="G35" i="56"/>
  <c r="T34" i="56"/>
  <c r="U34" i="56" s="1"/>
  <c r="G34" i="56"/>
  <c r="P33" i="56"/>
  <c r="O33" i="56"/>
  <c r="F33" i="56"/>
  <c r="D33" i="56"/>
  <c r="S23" i="56"/>
  <c r="R23" i="56"/>
  <c r="Q23" i="56"/>
  <c r="P23" i="56"/>
  <c r="O23" i="56"/>
  <c r="N23" i="56"/>
  <c r="M23" i="56"/>
  <c r="L23" i="56"/>
  <c r="K23" i="56"/>
  <c r="F23" i="56"/>
  <c r="F79" i="56"/>
  <c r="D23" i="56"/>
  <c r="E16" i="56"/>
  <c r="C13" i="56"/>
  <c r="C16" i="56"/>
  <c r="T8" i="56"/>
  <c r="P17" i="60"/>
  <c r="Q40" i="60"/>
  <c r="T60" i="56"/>
  <c r="Q42" i="56"/>
  <c r="Q38" i="56"/>
  <c r="Q37" i="56"/>
  <c r="M38" i="56"/>
  <c r="M37" i="56" s="1"/>
  <c r="O42" i="56"/>
  <c r="O38" i="56"/>
  <c r="P42" i="56"/>
  <c r="P38" i="56"/>
  <c r="L38" i="56"/>
  <c r="L37" i="56" s="1"/>
  <c r="N42" i="56"/>
  <c r="N38" i="56"/>
  <c r="R42" i="56"/>
  <c r="R38" i="56"/>
  <c r="G33" i="56"/>
  <c r="G38" i="56"/>
  <c r="G43" i="56"/>
  <c r="G37" i="56" s="1"/>
  <c r="Q76" i="56"/>
  <c r="G65" i="56"/>
  <c r="S42" i="56"/>
  <c r="S38" i="56" s="1"/>
  <c r="Q65" i="56"/>
  <c r="S76" i="56"/>
  <c r="S65" i="56" s="1"/>
  <c r="K33" i="56"/>
  <c r="K79" i="56"/>
  <c r="L33" i="56"/>
  <c r="M33" i="56"/>
  <c r="I60" i="54"/>
  <c r="L60" i="54"/>
  <c r="M56" i="54"/>
  <c r="M55" i="54"/>
  <c r="M40" i="54"/>
  <c r="M38" i="54"/>
  <c r="L22" i="54"/>
  <c r="M20" i="54"/>
  <c r="L13" i="54"/>
  <c r="P13" i="54"/>
  <c r="M14" i="54"/>
  <c r="L15" i="54"/>
  <c r="M16" i="54"/>
  <c r="M60" i="54"/>
  <c r="H60" i="54"/>
  <c r="H59" i="54"/>
  <c r="R59" i="54"/>
  <c r="K59" i="54"/>
  <c r="J59" i="54"/>
  <c r="I59" i="54"/>
  <c r="M59" i="54"/>
  <c r="G59" i="54"/>
  <c r="F59" i="54"/>
  <c r="E59" i="54"/>
  <c r="D59" i="54"/>
  <c r="C59" i="54"/>
  <c r="M58" i="54"/>
  <c r="L58" i="54"/>
  <c r="R58" i="54"/>
  <c r="H58" i="54"/>
  <c r="M57" i="54"/>
  <c r="L57" i="54"/>
  <c r="H57" i="54"/>
  <c r="H56" i="54"/>
  <c r="H55" i="54"/>
  <c r="M54" i="54"/>
  <c r="L54" i="54"/>
  <c r="P54" i="54"/>
  <c r="H54" i="54"/>
  <c r="M53" i="54"/>
  <c r="L53" i="54"/>
  <c r="H53" i="54"/>
  <c r="L52" i="54"/>
  <c r="P52" i="54"/>
  <c r="M52" i="54"/>
  <c r="H52" i="54"/>
  <c r="N52" i="54"/>
  <c r="O52" i="54"/>
  <c r="H51" i="54"/>
  <c r="M50" i="54"/>
  <c r="L50" i="54"/>
  <c r="P50" i="54"/>
  <c r="H50" i="54"/>
  <c r="N50" i="54"/>
  <c r="H49" i="54"/>
  <c r="H48" i="54"/>
  <c r="H47" i="54"/>
  <c r="C46" i="54"/>
  <c r="H45" i="54"/>
  <c r="H44" i="54"/>
  <c r="H43" i="54"/>
  <c r="G42" i="54"/>
  <c r="F42" i="54"/>
  <c r="E42" i="54"/>
  <c r="D42" i="54"/>
  <c r="M41" i="54"/>
  <c r="L41" i="54"/>
  <c r="P41" i="54"/>
  <c r="Q41" i="54"/>
  <c r="H41" i="54"/>
  <c r="L40" i="54"/>
  <c r="H40" i="54"/>
  <c r="H39" i="54"/>
  <c r="H38" i="54"/>
  <c r="J37" i="54"/>
  <c r="G37" i="54"/>
  <c r="F37" i="54"/>
  <c r="E37" i="54"/>
  <c r="D37" i="54"/>
  <c r="C37" i="54"/>
  <c r="M36" i="54"/>
  <c r="L36" i="54"/>
  <c r="H36" i="54"/>
  <c r="H35" i="54"/>
  <c r="H34" i="54"/>
  <c r="H33" i="54"/>
  <c r="H32" i="54"/>
  <c r="H31" i="54"/>
  <c r="H30" i="54"/>
  <c r="H29" i="54"/>
  <c r="M28" i="54"/>
  <c r="L28" i="54"/>
  <c r="H28" i="54"/>
  <c r="M27" i="54"/>
  <c r="L27" i="54"/>
  <c r="P27" i="54"/>
  <c r="H27" i="54"/>
  <c r="J26" i="54"/>
  <c r="G26" i="54"/>
  <c r="F26" i="54"/>
  <c r="E26" i="54"/>
  <c r="D26" i="54"/>
  <c r="D61" i="54"/>
  <c r="C26" i="54"/>
  <c r="M25" i="54"/>
  <c r="L25" i="54"/>
  <c r="P25" i="54"/>
  <c r="H25" i="54"/>
  <c r="H24" i="54"/>
  <c r="H23" i="54"/>
  <c r="H22" i="54"/>
  <c r="G21" i="54"/>
  <c r="F21" i="54"/>
  <c r="E21" i="54"/>
  <c r="D21" i="54"/>
  <c r="C21" i="54"/>
  <c r="L20" i="54"/>
  <c r="C20" i="54"/>
  <c r="C17" i="54"/>
  <c r="H19" i="54"/>
  <c r="H18" i="54"/>
  <c r="G17" i="54"/>
  <c r="F17" i="54"/>
  <c r="E17" i="54"/>
  <c r="D17" i="54"/>
  <c r="H16" i="54"/>
  <c r="M15" i="54"/>
  <c r="H15" i="54"/>
  <c r="H14" i="54"/>
  <c r="M13" i="54"/>
  <c r="H13" i="54"/>
  <c r="H12" i="54"/>
  <c r="H11" i="54"/>
  <c r="H10" i="54"/>
  <c r="H9" i="54"/>
  <c r="J8" i="54"/>
  <c r="G8" i="54"/>
  <c r="F8" i="54"/>
  <c r="E8" i="54"/>
  <c r="E61" i="54"/>
  <c r="D8" i="54"/>
  <c r="C8" i="54"/>
  <c r="H20" i="54"/>
  <c r="H17" i="54"/>
  <c r="Q50" i="54"/>
  <c r="R36" i="54"/>
  <c r="K15" i="54"/>
  <c r="G61" i="54"/>
  <c r="L56" i="54"/>
  <c r="P56" i="54"/>
  <c r="Q56" i="54"/>
  <c r="H21" i="54"/>
  <c r="R20" i="54"/>
  <c r="Q52" i="54"/>
  <c r="L16" i="54"/>
  <c r="K16" i="54"/>
  <c r="N28" i="54"/>
  <c r="L14" i="54"/>
  <c r="P14" i="54"/>
  <c r="H37" i="54"/>
  <c r="R53" i="54"/>
  <c r="L38" i="54"/>
  <c r="R38" i="54"/>
  <c r="R41" i="54"/>
  <c r="R57" i="54"/>
  <c r="R40" i="54"/>
  <c r="P40" i="54"/>
  <c r="P28" i="54"/>
  <c r="P60" i="54"/>
  <c r="P59" i="54"/>
  <c r="L59" i="54"/>
  <c r="N60" i="54"/>
  <c r="N59" i="54"/>
  <c r="Q54" i="54"/>
  <c r="R54" i="54"/>
  <c r="R50" i="54"/>
  <c r="N54" i="54"/>
  <c r="L55" i="54"/>
  <c r="N56" i="54"/>
  <c r="P57" i="54"/>
  <c r="Q57" i="54"/>
  <c r="P58" i="54"/>
  <c r="Q58" i="54"/>
  <c r="R56" i="54"/>
  <c r="K57" i="54"/>
  <c r="N58" i="54"/>
  <c r="K40" i="54"/>
  <c r="N41" i="54"/>
  <c r="N38" i="54"/>
  <c r="N27" i="54"/>
  <c r="Q28" i="54"/>
  <c r="K22" i="54"/>
  <c r="N22" i="54"/>
  <c r="O22" i="54"/>
  <c r="M22" i="54"/>
  <c r="R25" i="54"/>
  <c r="P20" i="54"/>
  <c r="Q20" i="54"/>
  <c r="Q13" i="54"/>
  <c r="K13" i="54"/>
  <c r="N14" i="54"/>
  <c r="O14" i="54"/>
  <c r="P15" i="54"/>
  <c r="Q15" i="54"/>
  <c r="R13" i="54"/>
  <c r="O27" i="54"/>
  <c r="N13" i="54"/>
  <c r="O13" i="54"/>
  <c r="P16" i="54"/>
  <c r="Q16" i="54"/>
  <c r="J21" i="54"/>
  <c r="F61" i="54"/>
  <c r="K14" i="54"/>
  <c r="Q14" i="54"/>
  <c r="R15" i="54"/>
  <c r="R16" i="54"/>
  <c r="J17" i="54"/>
  <c r="J61" i="54" s="1"/>
  <c r="K25" i="54"/>
  <c r="R28" i="54"/>
  <c r="P36" i="54"/>
  <c r="Q36" i="54"/>
  <c r="N36" i="54"/>
  <c r="J42" i="54"/>
  <c r="Q60" i="54"/>
  <c r="Q59" i="54"/>
  <c r="N16" i="54"/>
  <c r="O16" i="54"/>
  <c r="K27" i="54"/>
  <c r="H26" i="54"/>
  <c r="Q27" i="54"/>
  <c r="P38" i="54"/>
  <c r="Q38" i="54"/>
  <c r="Q40" i="54"/>
  <c r="C42" i="54"/>
  <c r="C61" i="54"/>
  <c r="H46" i="54"/>
  <c r="K52" i="54"/>
  <c r="R52" i="54"/>
  <c r="N25" i="54"/>
  <c r="O25" i="54"/>
  <c r="H8" i="54"/>
  <c r="N15" i="54"/>
  <c r="O15" i="54"/>
  <c r="Q25" i="54"/>
  <c r="R27" i="54"/>
  <c r="N40" i="54"/>
  <c r="P53" i="54"/>
  <c r="Q53" i="54"/>
  <c r="N53" i="54"/>
  <c r="N57" i="54"/>
  <c r="O57" i="54"/>
  <c r="N20" i="54"/>
  <c r="R14" i="54"/>
  <c r="R55" i="54"/>
  <c r="P55" i="54"/>
  <c r="Q55" i="54"/>
  <c r="N55" i="54"/>
  <c r="P22" i="54"/>
  <c r="Q22" i="54"/>
  <c r="R22" i="54"/>
  <c r="O40" i="54"/>
  <c r="H42" i="54"/>
  <c r="H61" i="54"/>
  <c r="C46" i="53"/>
  <c r="H46" i="53"/>
  <c r="C20" i="53"/>
  <c r="H20" i="53"/>
  <c r="D8" i="53"/>
  <c r="H9" i="53"/>
  <c r="H10" i="53"/>
  <c r="H11" i="53"/>
  <c r="H12" i="53"/>
  <c r="H13" i="53"/>
  <c r="L13" i="53"/>
  <c r="P13" i="53" s="1"/>
  <c r="H14" i="53"/>
  <c r="F8" i="53"/>
  <c r="M14" i="53"/>
  <c r="L14" i="53"/>
  <c r="P14" i="53" s="1"/>
  <c r="H16" i="53"/>
  <c r="M16" i="53"/>
  <c r="D17" i="53"/>
  <c r="E17" i="53"/>
  <c r="G17" i="53"/>
  <c r="H19" i="53"/>
  <c r="L20" i="53"/>
  <c r="M20" i="53"/>
  <c r="D21" i="53"/>
  <c r="E21" i="53"/>
  <c r="C21" i="53"/>
  <c r="I21" i="53"/>
  <c r="L22" i="53"/>
  <c r="H25" i="53"/>
  <c r="F21" i="53"/>
  <c r="M25" i="53"/>
  <c r="L25" i="53"/>
  <c r="P25" i="53"/>
  <c r="D26" i="53"/>
  <c r="D61" i="53"/>
  <c r="F26" i="53"/>
  <c r="H28" i="53"/>
  <c r="H29" i="53"/>
  <c r="H30" i="53"/>
  <c r="H31" i="53"/>
  <c r="H32" i="53"/>
  <c r="H36" i="53"/>
  <c r="D37" i="53"/>
  <c r="F37" i="53"/>
  <c r="L38" i="53"/>
  <c r="H39" i="53"/>
  <c r="H41" i="53"/>
  <c r="L41" i="53"/>
  <c r="P41" i="53"/>
  <c r="D42" i="53"/>
  <c r="E42" i="53"/>
  <c r="H45" i="53"/>
  <c r="H50" i="53"/>
  <c r="L50" i="53"/>
  <c r="P50" i="53"/>
  <c r="Q50" i="53" s="1"/>
  <c r="M50" i="53"/>
  <c r="H51" i="53"/>
  <c r="H52" i="53"/>
  <c r="L52" i="53"/>
  <c r="N52" i="53" s="1"/>
  <c r="O52" i="53" s="1"/>
  <c r="H53" i="53"/>
  <c r="L53" i="53"/>
  <c r="R53" i="53" s="1"/>
  <c r="M53" i="53"/>
  <c r="H54" i="53"/>
  <c r="M54" i="53"/>
  <c r="H55" i="53"/>
  <c r="L55" i="53"/>
  <c r="P55" i="53" s="1"/>
  <c r="Q55" i="53" s="1"/>
  <c r="H56" i="53"/>
  <c r="L56" i="53"/>
  <c r="P56" i="53" s="1"/>
  <c r="Q56" i="53" s="1"/>
  <c r="M57" i="53"/>
  <c r="H58" i="53"/>
  <c r="D59" i="53"/>
  <c r="E59" i="53"/>
  <c r="F59" i="53"/>
  <c r="J59" i="53"/>
  <c r="K59" i="53"/>
  <c r="R59" i="53"/>
  <c r="C59" i="53"/>
  <c r="G59" i="53"/>
  <c r="H60" i="53"/>
  <c r="H59" i="53"/>
  <c r="I59" i="53"/>
  <c r="M49" i="54"/>
  <c r="M59" i="53"/>
  <c r="N41" i="53"/>
  <c r="M52" i="53"/>
  <c r="H49" i="53"/>
  <c r="H48" i="53"/>
  <c r="H47" i="53"/>
  <c r="F42" i="53"/>
  <c r="H40" i="53"/>
  <c r="M27" i="53"/>
  <c r="H15" i="53"/>
  <c r="M11" i="53"/>
  <c r="I17" i="53"/>
  <c r="M60" i="53"/>
  <c r="H57" i="53"/>
  <c r="M55" i="53"/>
  <c r="R50" i="53"/>
  <c r="N50" i="53"/>
  <c r="M41" i="53"/>
  <c r="Q41" i="53"/>
  <c r="G26" i="53"/>
  <c r="H24" i="53"/>
  <c r="C17" i="53"/>
  <c r="M15" i="53"/>
  <c r="G8" i="53"/>
  <c r="N53" i="53"/>
  <c r="L57" i="53"/>
  <c r="R57" i="53" s="1"/>
  <c r="M56" i="53"/>
  <c r="H44" i="53"/>
  <c r="H35" i="53"/>
  <c r="H34" i="53"/>
  <c r="H33" i="53"/>
  <c r="H22" i="53"/>
  <c r="K22" i="53"/>
  <c r="L16" i="53"/>
  <c r="P16" i="53" s="1"/>
  <c r="L58" i="53"/>
  <c r="N58" i="53" s="1"/>
  <c r="M58" i="53"/>
  <c r="C42" i="53"/>
  <c r="H43" i="53"/>
  <c r="I42" i="53"/>
  <c r="H18" i="53"/>
  <c r="F17" i="53"/>
  <c r="G42" i="53"/>
  <c r="H23" i="53"/>
  <c r="G21" i="53"/>
  <c r="R20" i="53"/>
  <c r="N20" i="53"/>
  <c r="P20" i="53"/>
  <c r="Q20" i="53"/>
  <c r="L54" i="53"/>
  <c r="N54" i="53" s="1"/>
  <c r="L40" i="53"/>
  <c r="M40" i="53"/>
  <c r="E37" i="53"/>
  <c r="H38" i="53"/>
  <c r="I37" i="53"/>
  <c r="M38" i="53"/>
  <c r="C37" i="53"/>
  <c r="N25" i="53"/>
  <c r="O25" i="53"/>
  <c r="E8" i="53"/>
  <c r="L60" i="53"/>
  <c r="G37" i="53"/>
  <c r="L36" i="53"/>
  <c r="N36" i="53" s="1"/>
  <c r="M36" i="53"/>
  <c r="L28" i="53"/>
  <c r="P28" i="53" s="1"/>
  <c r="M28" i="53"/>
  <c r="L27" i="53"/>
  <c r="N27" i="53" s="1"/>
  <c r="O27" i="53" s="1"/>
  <c r="E26" i="53"/>
  <c r="H27" i="53"/>
  <c r="R25" i="53"/>
  <c r="K25" i="53"/>
  <c r="L15" i="53"/>
  <c r="R15" i="53" s="1"/>
  <c r="I8" i="53"/>
  <c r="C8" i="53"/>
  <c r="I26" i="53"/>
  <c r="C26" i="53"/>
  <c r="Q25" i="53"/>
  <c r="H8" i="53"/>
  <c r="M13" i="53"/>
  <c r="M22" i="53"/>
  <c r="P22" i="53"/>
  <c r="H21" i="53"/>
  <c r="F61" i="53"/>
  <c r="R41" i="53"/>
  <c r="R38" i="53"/>
  <c r="P38" i="53"/>
  <c r="N40" i="53"/>
  <c r="O40" i="53"/>
  <c r="N22" i="53"/>
  <c r="O22" i="53"/>
  <c r="G61" i="53"/>
  <c r="P40" i="53"/>
  <c r="Q40" i="53"/>
  <c r="R40" i="53"/>
  <c r="K40" i="53"/>
  <c r="H26" i="53"/>
  <c r="I61" i="53"/>
  <c r="P60" i="53"/>
  <c r="L59" i="53"/>
  <c r="H37" i="53"/>
  <c r="N38" i="53"/>
  <c r="C61" i="53"/>
  <c r="Q22" i="53"/>
  <c r="R22" i="53"/>
  <c r="E61" i="53"/>
  <c r="N60" i="53"/>
  <c r="N59" i="53"/>
  <c r="H17" i="53"/>
  <c r="H42" i="53"/>
  <c r="Q38" i="53"/>
  <c r="H61" i="53"/>
  <c r="P59" i="53"/>
  <c r="Q60" i="53"/>
  <c r="Q59" i="53"/>
  <c r="C46" i="13"/>
  <c r="E200" i="15"/>
  <c r="C33" i="29"/>
  <c r="C29" i="29"/>
  <c r="C20" i="29"/>
  <c r="C24" i="29"/>
  <c r="C46" i="29"/>
  <c r="C51" i="29"/>
  <c r="C62" i="29"/>
  <c r="F4" i="15"/>
  <c r="E517" i="15"/>
  <c r="E524" i="15"/>
  <c r="E183" i="15"/>
  <c r="C11" i="29"/>
  <c r="C9" i="29"/>
  <c r="F200" i="15"/>
  <c r="E758" i="15"/>
  <c r="E757" i="15" s="1"/>
  <c r="G76" i="43"/>
  <c r="T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F75" i="43"/>
  <c r="E75" i="43"/>
  <c r="D75" i="43"/>
  <c r="C75" i="43"/>
  <c r="G74" i="43"/>
  <c r="R74" i="43"/>
  <c r="R64" i="43"/>
  <c r="G73" i="43"/>
  <c r="T73" i="43"/>
  <c r="U73" i="43"/>
  <c r="T72" i="43"/>
  <c r="G72" i="43"/>
  <c r="T71" i="43"/>
  <c r="G71" i="43"/>
  <c r="G70" i="43"/>
  <c r="T70" i="43"/>
  <c r="G69" i="43"/>
  <c r="T69" i="43"/>
  <c r="T68" i="43"/>
  <c r="G68" i="43"/>
  <c r="T67" i="43"/>
  <c r="G67" i="43"/>
  <c r="G65" i="43"/>
  <c r="G66" i="43"/>
  <c r="T66" i="43"/>
  <c r="T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59" i="43"/>
  <c r="D42" i="43"/>
  <c r="D37" i="43"/>
  <c r="D36" i="43"/>
  <c r="D32" i="43"/>
  <c r="D23" i="43"/>
  <c r="C64" i="43"/>
  <c r="C59" i="43"/>
  <c r="C42" i="43"/>
  <c r="C37" i="43"/>
  <c r="C32" i="43"/>
  <c r="C23" i="43"/>
  <c r="T63" i="43"/>
  <c r="G63" i="43"/>
  <c r="G62" i="43"/>
  <c r="T62" i="43"/>
  <c r="G61" i="43"/>
  <c r="T61" i="43"/>
  <c r="T60" i="43"/>
  <c r="G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F59" i="43"/>
  <c r="E59" i="43"/>
  <c r="E42" i="43"/>
  <c r="E37" i="43"/>
  <c r="E32" i="43"/>
  <c r="E23" i="43"/>
  <c r="G58" i="43"/>
  <c r="T58" i="43"/>
  <c r="G57" i="43"/>
  <c r="T57" i="43"/>
  <c r="T56" i="43"/>
  <c r="G56" i="43"/>
  <c r="T55" i="43"/>
  <c r="G55" i="43"/>
  <c r="G54" i="43"/>
  <c r="T54" i="43"/>
  <c r="G53" i="43"/>
  <c r="T53" i="43"/>
  <c r="T52" i="43"/>
  <c r="G52" i="43"/>
  <c r="T51" i="43"/>
  <c r="G51" i="43"/>
  <c r="G50" i="43"/>
  <c r="T50" i="43"/>
  <c r="G49" i="43"/>
  <c r="T49" i="43"/>
  <c r="T48" i="43"/>
  <c r="G48" i="43"/>
  <c r="T47" i="43"/>
  <c r="G47" i="43"/>
  <c r="G46" i="43"/>
  <c r="T46" i="43"/>
  <c r="G45" i="43"/>
  <c r="T45" i="43"/>
  <c r="T44" i="43"/>
  <c r="T43" i="43"/>
  <c r="G44" i="43"/>
  <c r="G43" i="43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37" i="43"/>
  <c r="F32" i="43"/>
  <c r="F23" i="43"/>
  <c r="G41" i="43"/>
  <c r="Q41" i="43"/>
  <c r="G40" i="43"/>
  <c r="T40" i="43"/>
  <c r="T39" i="43"/>
  <c r="G39" i="43"/>
  <c r="T38" i="43"/>
  <c r="G38" i="43"/>
  <c r="K37" i="43"/>
  <c r="J37" i="43"/>
  <c r="I37" i="43"/>
  <c r="I36" i="43"/>
  <c r="G35" i="43"/>
  <c r="H35" i="43"/>
  <c r="G34" i="43"/>
  <c r="G33" i="43"/>
  <c r="T33" i="43"/>
  <c r="T31" i="43"/>
  <c r="G31" i="43"/>
  <c r="T30" i="43"/>
  <c r="G30" i="43"/>
  <c r="G29" i="43"/>
  <c r="T29" i="43"/>
  <c r="U29" i="43"/>
  <c r="G28" i="43"/>
  <c r="T28" i="43"/>
  <c r="T27" i="43"/>
  <c r="G27" i="43"/>
  <c r="T26" i="43"/>
  <c r="G26" i="43"/>
  <c r="U26" i="43"/>
  <c r="G24" i="43"/>
  <c r="G25" i="43"/>
  <c r="T24" i="43"/>
  <c r="T25" i="43"/>
  <c r="U24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E16" i="43"/>
  <c r="C13" i="43"/>
  <c r="C16" i="43"/>
  <c r="G12" i="43"/>
  <c r="G11" i="43"/>
  <c r="H11" i="43"/>
  <c r="I11" i="43"/>
  <c r="G10" i="43"/>
  <c r="G9" i="43"/>
  <c r="G8" i="43"/>
  <c r="T8" i="43"/>
  <c r="G24" i="13"/>
  <c r="G25" i="13"/>
  <c r="T25" i="13"/>
  <c r="G26" i="13"/>
  <c r="T26" i="13"/>
  <c r="G27" i="13"/>
  <c r="T27" i="13"/>
  <c r="G28" i="13"/>
  <c r="T28" i="13"/>
  <c r="G29" i="13"/>
  <c r="T29" i="13"/>
  <c r="G30" i="13"/>
  <c r="T30" i="13"/>
  <c r="G31" i="13"/>
  <c r="T31" i="13"/>
  <c r="G33" i="13"/>
  <c r="G34" i="13"/>
  <c r="G35" i="13"/>
  <c r="H35" i="13"/>
  <c r="T33" i="13"/>
  <c r="G38" i="13"/>
  <c r="G39" i="13"/>
  <c r="G40" i="13"/>
  <c r="G41" i="13"/>
  <c r="M41" i="13"/>
  <c r="T38" i="13"/>
  <c r="T39" i="13"/>
  <c r="T40" i="13"/>
  <c r="H41" i="13"/>
  <c r="H37" i="13"/>
  <c r="G43" i="13"/>
  <c r="T43" i="13"/>
  <c r="G44" i="13"/>
  <c r="T44" i="13"/>
  <c r="G45" i="13"/>
  <c r="T45" i="13"/>
  <c r="G46" i="13"/>
  <c r="T46" i="13"/>
  <c r="G47" i="13"/>
  <c r="T47" i="13"/>
  <c r="G48" i="13"/>
  <c r="T48" i="13"/>
  <c r="G49" i="13"/>
  <c r="T49" i="13"/>
  <c r="G50" i="13"/>
  <c r="T50" i="13"/>
  <c r="G51" i="13"/>
  <c r="T51" i="13"/>
  <c r="G52" i="13"/>
  <c r="T52" i="13"/>
  <c r="G54" i="13"/>
  <c r="T54" i="13"/>
  <c r="G55" i="13"/>
  <c r="T55" i="13"/>
  <c r="G56" i="13"/>
  <c r="T56" i="13"/>
  <c r="G57" i="13"/>
  <c r="T57" i="13"/>
  <c r="G58" i="13"/>
  <c r="T58" i="13"/>
  <c r="G60" i="13"/>
  <c r="G61" i="13"/>
  <c r="G62" i="13"/>
  <c r="G63" i="13"/>
  <c r="T60" i="13"/>
  <c r="T61" i="13"/>
  <c r="T62" i="13"/>
  <c r="T63" i="13"/>
  <c r="G65" i="13"/>
  <c r="G66" i="13"/>
  <c r="G67" i="13"/>
  <c r="G68" i="13"/>
  <c r="G69" i="13"/>
  <c r="G70" i="13"/>
  <c r="G71" i="13"/>
  <c r="G72" i="13"/>
  <c r="G73" i="13"/>
  <c r="G74" i="13"/>
  <c r="T65" i="13"/>
  <c r="T66" i="13"/>
  <c r="T67" i="13"/>
  <c r="T68" i="13"/>
  <c r="T69" i="13"/>
  <c r="T70" i="13"/>
  <c r="T71" i="13"/>
  <c r="U71" i="13"/>
  <c r="T72" i="13"/>
  <c r="T73" i="13"/>
  <c r="G76" i="13"/>
  <c r="G75" i="13"/>
  <c r="T76" i="13"/>
  <c r="T75" i="13"/>
  <c r="N41" i="43"/>
  <c r="H9" i="43"/>
  <c r="I9" i="43"/>
  <c r="J9" i="43"/>
  <c r="H34" i="43"/>
  <c r="I34" i="43"/>
  <c r="J34" i="43"/>
  <c r="N37" i="43"/>
  <c r="F131" i="15"/>
  <c r="E450" i="15"/>
  <c r="F535" i="15"/>
  <c r="F561" i="15"/>
  <c r="F543" i="15"/>
  <c r="F539" i="15" s="1"/>
  <c r="E731" i="15"/>
  <c r="E711" i="15"/>
  <c r="E696" i="15"/>
  <c r="E680" i="15"/>
  <c r="E664" i="15"/>
  <c r="E648" i="15"/>
  <c r="E632" i="15"/>
  <c r="E615" i="15"/>
  <c r="E604" i="15"/>
  <c r="E587" i="15"/>
  <c r="E571" i="15"/>
  <c r="E561" i="15"/>
  <c r="E543" i="15"/>
  <c r="E539" i="15"/>
  <c r="E507" i="15"/>
  <c r="E498" i="15"/>
  <c r="E481" i="15"/>
  <c r="E412" i="15"/>
  <c r="E398" i="15"/>
  <c r="E378" i="15"/>
  <c r="E280" i="15"/>
  <c r="E258" i="15"/>
  <c r="E247" i="15"/>
  <c r="E227" i="15"/>
  <c r="E216" i="15"/>
  <c r="E171" i="15"/>
  <c r="E131" i="15"/>
  <c r="E109" i="15"/>
  <c r="E86" i="15"/>
  <c r="E68" i="15"/>
  <c r="E49" i="15"/>
  <c r="E33" i="15"/>
  <c r="E4" i="15"/>
  <c r="S42" i="13"/>
  <c r="R42" i="13"/>
  <c r="Q42" i="13"/>
  <c r="J42" i="13"/>
  <c r="I42" i="13"/>
  <c r="C42" i="13"/>
  <c r="M42" i="13"/>
  <c r="N42" i="13"/>
  <c r="H75" i="13"/>
  <c r="F59" i="13"/>
  <c r="O42" i="13"/>
  <c r="P42" i="13"/>
  <c r="L42" i="13"/>
  <c r="K42" i="13"/>
  <c r="E42" i="13"/>
  <c r="H42" i="13"/>
  <c r="F42" i="13"/>
  <c r="F183" i="15"/>
  <c r="F758" i="15"/>
  <c r="F757" i="15" s="1"/>
  <c r="F731" i="15"/>
  <c r="F711" i="15"/>
  <c r="F696" i="15"/>
  <c r="F680" i="15"/>
  <c r="I680" i="15" s="1"/>
  <c r="K680" i="15" s="1"/>
  <c r="F664" i="15"/>
  <c r="F648" i="15"/>
  <c r="F632" i="15"/>
  <c r="F615" i="15"/>
  <c r="F604" i="15"/>
  <c r="F587" i="15"/>
  <c r="F571" i="15"/>
  <c r="F530" i="15"/>
  <c r="F524" i="15"/>
  <c r="F517" i="15"/>
  <c r="F507" i="15"/>
  <c r="F498" i="15"/>
  <c r="F481" i="15"/>
  <c r="F450" i="15" s="1"/>
  <c r="F412" i="15"/>
  <c r="F398" i="15"/>
  <c r="F378" i="15"/>
  <c r="F280" i="15"/>
  <c r="F258" i="15"/>
  <c r="F247" i="15"/>
  <c r="F227" i="15"/>
  <c r="F216" i="15"/>
  <c r="F171" i="15"/>
  <c r="F109" i="15"/>
  <c r="F86" i="15"/>
  <c r="F68" i="15"/>
  <c r="F49" i="15"/>
  <c r="F33" i="15"/>
  <c r="I628" i="15"/>
  <c r="I494" i="15"/>
  <c r="I256" i="15"/>
  <c r="I213" i="15"/>
  <c r="I31" i="15"/>
  <c r="C75" i="13"/>
  <c r="T53" i="13"/>
  <c r="K37" i="13"/>
  <c r="G53" i="13"/>
  <c r="I59" i="13"/>
  <c r="J37" i="13"/>
  <c r="J59" i="13"/>
  <c r="M59" i="13"/>
  <c r="C37" i="13"/>
  <c r="C36" i="13"/>
  <c r="C59" i="13"/>
  <c r="C64" i="13"/>
  <c r="K59" i="13"/>
  <c r="N59" i="13"/>
  <c r="Q59" i="13"/>
  <c r="S59" i="13"/>
  <c r="P59" i="13"/>
  <c r="R59" i="13"/>
  <c r="H59" i="13"/>
  <c r="O59" i="13"/>
  <c r="L59" i="13"/>
  <c r="N75" i="13"/>
  <c r="O75" i="13"/>
  <c r="P75" i="13"/>
  <c r="Q75" i="13"/>
  <c r="R75" i="13"/>
  <c r="S75" i="13"/>
  <c r="M75" i="13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D37" i="13"/>
  <c r="D36" i="13"/>
  <c r="F37" i="13"/>
  <c r="E37" i="13"/>
  <c r="F32" i="13"/>
  <c r="E32" i="13"/>
  <c r="D32" i="13"/>
  <c r="C32" i="13"/>
  <c r="E23" i="13"/>
  <c r="D23" i="13"/>
  <c r="C23" i="13"/>
  <c r="E16" i="13"/>
  <c r="C13" i="13"/>
  <c r="C16" i="13"/>
  <c r="G12" i="13"/>
  <c r="H12" i="13"/>
  <c r="G11" i="13"/>
  <c r="H11" i="13"/>
  <c r="G10" i="13"/>
  <c r="H10" i="13"/>
  <c r="G9" i="13"/>
  <c r="H9" i="13"/>
  <c r="I9" i="13"/>
  <c r="G8" i="13"/>
  <c r="F23" i="13"/>
  <c r="I37" i="13"/>
  <c r="Q23" i="13"/>
  <c r="T8" i="13"/>
  <c r="R23" i="13"/>
  <c r="J64" i="13"/>
  <c r="M64" i="13"/>
  <c r="I64" i="13"/>
  <c r="N64" i="13"/>
  <c r="N23" i="13"/>
  <c r="M23" i="13"/>
  <c r="O23" i="13"/>
  <c r="H64" i="13"/>
  <c r="I23" i="13"/>
  <c r="K23" i="13"/>
  <c r="O64" i="13"/>
  <c r="P23" i="13"/>
  <c r="L64" i="13"/>
  <c r="P64" i="13"/>
  <c r="K64" i="13"/>
  <c r="J23" i="13"/>
  <c r="S23" i="13"/>
  <c r="L23" i="13"/>
  <c r="U33" i="13"/>
  <c r="U72" i="13"/>
  <c r="U31" i="13"/>
  <c r="J36" i="43"/>
  <c r="U67" i="13"/>
  <c r="U43" i="43"/>
  <c r="C36" i="43"/>
  <c r="F77" i="13"/>
  <c r="G42" i="43"/>
  <c r="N36" i="43"/>
  <c r="U57" i="13"/>
  <c r="U45" i="43"/>
  <c r="U49" i="43"/>
  <c r="U53" i="43"/>
  <c r="U76" i="43"/>
  <c r="E36" i="13"/>
  <c r="U46" i="43"/>
  <c r="U50" i="43"/>
  <c r="U71" i="43"/>
  <c r="U55" i="13"/>
  <c r="U50" i="13"/>
  <c r="U45" i="13"/>
  <c r="U39" i="43"/>
  <c r="F36" i="43"/>
  <c r="O41" i="13"/>
  <c r="O37" i="13"/>
  <c r="E77" i="13"/>
  <c r="U27" i="43"/>
  <c r="F77" i="43"/>
  <c r="U66" i="43"/>
  <c r="U68" i="43"/>
  <c r="U70" i="43"/>
  <c r="Q74" i="43"/>
  <c r="U68" i="13"/>
  <c r="L41" i="43"/>
  <c r="L37" i="43"/>
  <c r="L36" i="43"/>
  <c r="U30" i="43"/>
  <c r="M41" i="43"/>
  <c r="M37" i="43"/>
  <c r="M36" i="43"/>
  <c r="U57" i="43"/>
  <c r="U67" i="43"/>
  <c r="I10" i="13"/>
  <c r="J10" i="13"/>
  <c r="U73" i="13"/>
  <c r="U69" i="13"/>
  <c r="U65" i="13"/>
  <c r="P41" i="13"/>
  <c r="P37" i="13"/>
  <c r="P36" i="13"/>
  <c r="G13" i="43"/>
  <c r="G16" i="43"/>
  <c r="U31" i="43"/>
  <c r="U38" i="43"/>
  <c r="U63" i="13"/>
  <c r="T23" i="43"/>
  <c r="H32" i="43"/>
  <c r="T42" i="43"/>
  <c r="U42" i="43"/>
  <c r="U63" i="43"/>
  <c r="L41" i="13"/>
  <c r="L37" i="13"/>
  <c r="L36" i="13"/>
  <c r="U38" i="13"/>
  <c r="R41" i="43"/>
  <c r="R37" i="43"/>
  <c r="R36" i="43"/>
  <c r="O41" i="43"/>
  <c r="O37" i="43"/>
  <c r="O36" i="43"/>
  <c r="U56" i="43"/>
  <c r="C77" i="43"/>
  <c r="G75" i="43"/>
  <c r="U75" i="43"/>
  <c r="G59" i="13"/>
  <c r="U25" i="43"/>
  <c r="U28" i="43"/>
  <c r="K36" i="43"/>
  <c r="H41" i="43"/>
  <c r="H37" i="43"/>
  <c r="H36" i="43"/>
  <c r="P41" i="43"/>
  <c r="P37" i="43"/>
  <c r="P36" i="43"/>
  <c r="U47" i="43"/>
  <c r="U55" i="43"/>
  <c r="E36" i="43"/>
  <c r="U62" i="43"/>
  <c r="I35" i="13"/>
  <c r="J35" i="13"/>
  <c r="K35" i="13"/>
  <c r="H32" i="13"/>
  <c r="M37" i="13"/>
  <c r="M36" i="13"/>
  <c r="H10" i="43"/>
  <c r="I12" i="13"/>
  <c r="J12" i="13"/>
  <c r="U53" i="13"/>
  <c r="F36" i="13"/>
  <c r="U48" i="13"/>
  <c r="U46" i="13"/>
  <c r="R41" i="13"/>
  <c r="R37" i="13"/>
  <c r="R36" i="13"/>
  <c r="N41" i="13"/>
  <c r="N37" i="13"/>
  <c r="N36" i="13"/>
  <c r="U28" i="13"/>
  <c r="U8" i="43"/>
  <c r="U33" i="43"/>
  <c r="U40" i="43"/>
  <c r="U44" i="43"/>
  <c r="U52" i="43"/>
  <c r="U54" i="43"/>
  <c r="D77" i="43"/>
  <c r="D77" i="13"/>
  <c r="J11" i="43"/>
  <c r="G37" i="43"/>
  <c r="G36" i="43"/>
  <c r="U62" i="13"/>
  <c r="U56" i="13"/>
  <c r="U51" i="13"/>
  <c r="Q41" i="13"/>
  <c r="Q37" i="13"/>
  <c r="Q36" i="13"/>
  <c r="H12" i="43"/>
  <c r="U51" i="43"/>
  <c r="U58" i="43"/>
  <c r="U60" i="43"/>
  <c r="G64" i="43"/>
  <c r="U72" i="43"/>
  <c r="K11" i="43"/>
  <c r="G32" i="43"/>
  <c r="G32" i="13"/>
  <c r="G23" i="43"/>
  <c r="U23" i="43"/>
  <c r="U48" i="43"/>
  <c r="E77" i="43"/>
  <c r="T59" i="43"/>
  <c r="U69" i="43"/>
  <c r="H16" i="13"/>
  <c r="H13" i="13"/>
  <c r="J9" i="13"/>
  <c r="G13" i="13"/>
  <c r="G16" i="13"/>
  <c r="Q37" i="43"/>
  <c r="K9" i="43"/>
  <c r="L9" i="43"/>
  <c r="I11" i="13"/>
  <c r="K36" i="13"/>
  <c r="K34" i="43"/>
  <c r="L34" i="43"/>
  <c r="M34" i="43"/>
  <c r="I35" i="43"/>
  <c r="J35" i="43"/>
  <c r="U44" i="13"/>
  <c r="U40" i="13"/>
  <c r="U27" i="13"/>
  <c r="G59" i="43"/>
  <c r="U61" i="43"/>
  <c r="U49" i="13"/>
  <c r="U47" i="13"/>
  <c r="U30" i="13"/>
  <c r="U26" i="13"/>
  <c r="H24" i="13"/>
  <c r="U70" i="13"/>
  <c r="G64" i="13"/>
  <c r="U52" i="13"/>
  <c r="U65" i="43"/>
  <c r="U76" i="13"/>
  <c r="U75" i="13"/>
  <c r="T59" i="13"/>
  <c r="U59" i="13"/>
  <c r="U60" i="13"/>
  <c r="U58" i="13"/>
  <c r="U54" i="13"/>
  <c r="T42" i="13"/>
  <c r="H36" i="13"/>
  <c r="O36" i="13"/>
  <c r="I36" i="13"/>
  <c r="J36" i="13"/>
  <c r="U43" i="13"/>
  <c r="U39" i="13"/>
  <c r="U29" i="13"/>
  <c r="U25" i="13"/>
  <c r="U8" i="13"/>
  <c r="C77" i="13"/>
  <c r="Q74" i="13"/>
  <c r="R74" i="13"/>
  <c r="R64" i="13"/>
  <c r="U66" i="13"/>
  <c r="U61" i="13"/>
  <c r="G42" i="13"/>
  <c r="G37" i="13"/>
  <c r="G23" i="13"/>
  <c r="I68" i="15"/>
  <c r="S41" i="43"/>
  <c r="S37" i="43"/>
  <c r="S36" i="43"/>
  <c r="K10" i="13"/>
  <c r="L10" i="13"/>
  <c r="S74" i="43"/>
  <c r="Q64" i="43"/>
  <c r="H77" i="43"/>
  <c r="L11" i="43"/>
  <c r="U59" i="43"/>
  <c r="S41" i="13"/>
  <c r="S37" i="13"/>
  <c r="S36" i="13"/>
  <c r="H13" i="43"/>
  <c r="H16" i="43"/>
  <c r="I12" i="43"/>
  <c r="J12" i="43"/>
  <c r="I10" i="43"/>
  <c r="J10" i="43"/>
  <c r="J32" i="43"/>
  <c r="J77" i="43"/>
  <c r="K35" i="43"/>
  <c r="K32" i="43"/>
  <c r="K77" i="43"/>
  <c r="N34" i="43"/>
  <c r="L35" i="13"/>
  <c r="M35" i="13"/>
  <c r="N35" i="13"/>
  <c r="T24" i="13"/>
  <c r="H23" i="13"/>
  <c r="H77" i="13"/>
  <c r="Q36" i="43"/>
  <c r="K9" i="13"/>
  <c r="I32" i="43"/>
  <c r="I77" i="43"/>
  <c r="M9" i="43"/>
  <c r="N9" i="43"/>
  <c r="I16" i="13"/>
  <c r="I13" i="13"/>
  <c r="G77" i="43"/>
  <c r="J11" i="13"/>
  <c r="K11" i="13"/>
  <c r="K12" i="13"/>
  <c r="U42" i="13"/>
  <c r="Q64" i="13"/>
  <c r="S74" i="13"/>
  <c r="S64" i="13"/>
  <c r="G36" i="13"/>
  <c r="I32" i="13"/>
  <c r="I77" i="13"/>
  <c r="G77" i="13"/>
  <c r="O34" i="43"/>
  <c r="P34" i="43"/>
  <c r="T41" i="43"/>
  <c r="M10" i="13"/>
  <c r="N10" i="13"/>
  <c r="S64" i="43"/>
  <c r="T74" i="43"/>
  <c r="L35" i="43"/>
  <c r="L32" i="43"/>
  <c r="L77" i="43"/>
  <c r="T41" i="13"/>
  <c r="T37" i="13"/>
  <c r="M11" i="43"/>
  <c r="N11" i="43"/>
  <c r="K10" i="43"/>
  <c r="L10" i="43"/>
  <c r="J13" i="43"/>
  <c r="J16" i="43"/>
  <c r="I13" i="43"/>
  <c r="K12" i="43"/>
  <c r="I16" i="43"/>
  <c r="K13" i="13"/>
  <c r="K16" i="13"/>
  <c r="O9" i="43"/>
  <c r="J13" i="13"/>
  <c r="J16" i="13"/>
  <c r="L11" i="13"/>
  <c r="M11" i="13"/>
  <c r="L9" i="13"/>
  <c r="M9" i="13"/>
  <c r="U24" i="13"/>
  <c r="T23" i="13"/>
  <c r="U23" i="13"/>
  <c r="L12" i="13"/>
  <c r="M12" i="13"/>
  <c r="T74" i="13"/>
  <c r="J32" i="13"/>
  <c r="J77" i="13"/>
  <c r="Q34" i="43"/>
  <c r="R34" i="43"/>
  <c r="S34" i="43"/>
  <c r="T34" i="43"/>
  <c r="U34" i="43"/>
  <c r="U41" i="43"/>
  <c r="T37" i="43"/>
  <c r="M35" i="43"/>
  <c r="N35" i="43"/>
  <c r="N32" i="43"/>
  <c r="N77" i="43"/>
  <c r="O10" i="13"/>
  <c r="P10" i="13"/>
  <c r="U74" i="43"/>
  <c r="T64" i="43"/>
  <c r="U64" i="43"/>
  <c r="U41" i="13"/>
  <c r="M10" i="43"/>
  <c r="N10" i="43"/>
  <c r="K13" i="43"/>
  <c r="K16" i="43"/>
  <c r="U37" i="13"/>
  <c r="T36" i="13"/>
  <c r="U36" i="13"/>
  <c r="O11" i="43"/>
  <c r="P11" i="43"/>
  <c r="L12" i="43"/>
  <c r="M12" i="43"/>
  <c r="N9" i="13"/>
  <c r="O9" i="13"/>
  <c r="P9" i="43"/>
  <c r="Q10" i="13"/>
  <c r="L13" i="13"/>
  <c r="L16" i="13"/>
  <c r="N11" i="13"/>
  <c r="M13" i="13"/>
  <c r="M16" i="13"/>
  <c r="N12" i="13"/>
  <c r="O12" i="13"/>
  <c r="T64" i="13"/>
  <c r="U64" i="13"/>
  <c r="U74" i="13"/>
  <c r="K32" i="13"/>
  <c r="K77" i="13"/>
  <c r="U37" i="43"/>
  <c r="T36" i="43"/>
  <c r="U36" i="43"/>
  <c r="M32" i="43"/>
  <c r="M77" i="43"/>
  <c r="O35" i="43"/>
  <c r="P35" i="43"/>
  <c r="P32" i="43"/>
  <c r="P77" i="43"/>
  <c r="N12" i="43"/>
  <c r="O12" i="43"/>
  <c r="L13" i="43"/>
  <c r="L16" i="43"/>
  <c r="Q11" i="43"/>
  <c r="R11" i="43"/>
  <c r="S11" i="43"/>
  <c r="O10" i="43"/>
  <c r="M13" i="43"/>
  <c r="M16" i="43"/>
  <c r="N13" i="13"/>
  <c r="N16" i="13"/>
  <c r="P9" i="13"/>
  <c r="O11" i="13"/>
  <c r="P11" i="13"/>
  <c r="P12" i="13"/>
  <c r="Q9" i="43"/>
  <c r="R10" i="13"/>
  <c r="S10" i="13"/>
  <c r="T10" i="13"/>
  <c r="Q35" i="13"/>
  <c r="R35" i="13"/>
  <c r="S35" i="13"/>
  <c r="T35" i="13"/>
  <c r="U35" i="13"/>
  <c r="L32" i="13"/>
  <c r="L77" i="13"/>
  <c r="O32" i="43"/>
  <c r="O77" i="43"/>
  <c r="Q35" i="43"/>
  <c r="Q32" i="43"/>
  <c r="Q77" i="43"/>
  <c r="T11" i="43"/>
  <c r="P12" i="43"/>
  <c r="O13" i="43"/>
  <c r="O16" i="43"/>
  <c r="O13" i="13"/>
  <c r="O16" i="13"/>
  <c r="N13" i="43"/>
  <c r="N16" i="43"/>
  <c r="P10" i="43"/>
  <c r="R9" i="43"/>
  <c r="P13" i="13"/>
  <c r="P16" i="13"/>
  <c r="R35" i="43"/>
  <c r="R32" i="43"/>
  <c r="R77" i="43"/>
  <c r="Q11" i="13"/>
  <c r="Q9" i="13"/>
  <c r="Q12" i="13"/>
  <c r="R12" i="13"/>
  <c r="M32" i="13"/>
  <c r="M77" i="13"/>
  <c r="Q12" i="43"/>
  <c r="R12" i="43"/>
  <c r="P13" i="43"/>
  <c r="P16" i="43"/>
  <c r="Q10" i="43"/>
  <c r="R10" i="43"/>
  <c r="S35" i="43"/>
  <c r="R11" i="13"/>
  <c r="S11" i="13"/>
  <c r="S12" i="13"/>
  <c r="T12" i="13"/>
  <c r="Q13" i="13"/>
  <c r="Q16" i="13"/>
  <c r="R9" i="13"/>
  <c r="S9" i="43"/>
  <c r="N32" i="13"/>
  <c r="N77" i="13"/>
  <c r="P32" i="13"/>
  <c r="P77" i="13"/>
  <c r="R13" i="43"/>
  <c r="R16" i="43"/>
  <c r="R13" i="13"/>
  <c r="R16" i="13"/>
  <c r="S12" i="43"/>
  <c r="T12" i="43"/>
  <c r="S10" i="43"/>
  <c r="T10" i="43"/>
  <c r="Q13" i="43"/>
  <c r="Q16" i="43"/>
  <c r="S9" i="13"/>
  <c r="S32" i="43"/>
  <c r="S77" i="43"/>
  <c r="T35" i="43"/>
  <c r="T9" i="43"/>
  <c r="T11" i="13"/>
  <c r="Q32" i="13"/>
  <c r="Q77" i="13"/>
  <c r="R32" i="13"/>
  <c r="R77" i="13"/>
  <c r="O32" i="13"/>
  <c r="O77" i="13"/>
  <c r="T13" i="43"/>
  <c r="S13" i="43"/>
  <c r="S16" i="43"/>
  <c r="T16" i="43"/>
  <c r="U35" i="43"/>
  <c r="T32" i="43"/>
  <c r="S13" i="13"/>
  <c r="S16" i="13"/>
  <c r="T16" i="13"/>
  <c r="T9" i="13"/>
  <c r="T13" i="13"/>
  <c r="S32" i="13"/>
  <c r="S77" i="13"/>
  <c r="T34" i="13"/>
  <c r="U34" i="13"/>
  <c r="U32" i="43"/>
  <c r="T77" i="43"/>
  <c r="U77" i="43"/>
  <c r="T32" i="13"/>
  <c r="T77" i="13"/>
  <c r="U77" i="13"/>
  <c r="I561" i="15" l="1"/>
  <c r="K561" i="15" s="1"/>
  <c r="Q13" i="53"/>
  <c r="P53" i="53"/>
  <c r="Q53" i="53" s="1"/>
  <c r="M45" i="54"/>
  <c r="I632" i="15"/>
  <c r="K15" i="53"/>
  <c r="M49" i="53"/>
  <c r="L45" i="53"/>
  <c r="K45" i="53" s="1"/>
  <c r="M46" i="64"/>
  <c r="L46" i="64"/>
  <c r="L39" i="54"/>
  <c r="N39" i="54" s="1"/>
  <c r="N37" i="54" s="1"/>
  <c r="O37" i="54" s="1"/>
  <c r="L10" i="53"/>
  <c r="P10" i="53" s="1"/>
  <c r="M44" i="60"/>
  <c r="I49" i="15"/>
  <c r="K49" i="15" s="1"/>
  <c r="L49" i="15" s="1"/>
  <c r="J37" i="53"/>
  <c r="P36" i="53"/>
  <c r="Q36" i="53" s="1"/>
  <c r="N13" i="53"/>
  <c r="O13" i="53" s="1"/>
  <c r="K13" i="53"/>
  <c r="L46" i="63"/>
  <c r="M46" i="63"/>
  <c r="U52" i="56"/>
  <c r="T42" i="56"/>
  <c r="U42" i="56" s="1"/>
  <c r="P79" i="56"/>
  <c r="R27" i="53"/>
  <c r="R13" i="53"/>
  <c r="N15" i="53"/>
  <c r="O15" i="53" s="1"/>
  <c r="I183" i="15"/>
  <c r="I530" i="15"/>
  <c r="K530" i="15" s="1"/>
  <c r="E3" i="15"/>
  <c r="I109" i="15"/>
  <c r="K109" i="15" s="1"/>
  <c r="L109" i="15" s="1"/>
  <c r="I378" i="15"/>
  <c r="K378" i="15" s="1"/>
  <c r="L378" i="15" s="1"/>
  <c r="I498" i="15"/>
  <c r="K498" i="15" s="1"/>
  <c r="I200" i="15"/>
  <c r="K200" i="15" s="1"/>
  <c r="I247" i="15"/>
  <c r="K247" i="15" s="1"/>
  <c r="I571" i="15"/>
  <c r="K571" i="15" s="1"/>
  <c r="I696" i="15"/>
  <c r="K696" i="15" s="1"/>
  <c r="M31" i="53"/>
  <c r="L33" i="53"/>
  <c r="N33" i="53" s="1"/>
  <c r="O33" i="53" s="1"/>
  <c r="I507" i="15"/>
  <c r="K507" i="15" s="1"/>
  <c r="I398" i="15"/>
  <c r="K398" i="15" s="1"/>
  <c r="L398" i="15" s="1"/>
  <c r="I481" i="15"/>
  <c r="K481" i="15" s="1"/>
  <c r="L481" i="15" s="1"/>
  <c r="E215" i="15"/>
  <c r="I131" i="15"/>
  <c r="K131" i="15" s="1"/>
  <c r="L131" i="15" s="1"/>
  <c r="L49" i="53"/>
  <c r="K49" i="53" s="1"/>
  <c r="I227" i="15"/>
  <c r="K227" i="15" s="1"/>
  <c r="L227" i="15" s="1"/>
  <c r="I258" i="15"/>
  <c r="K258" i="15" s="1"/>
  <c r="L258" i="15" s="1"/>
  <c r="I412" i="15"/>
  <c r="I587" i="15"/>
  <c r="E614" i="15"/>
  <c r="I535" i="15"/>
  <c r="K535" i="15" s="1"/>
  <c r="R58" i="53"/>
  <c r="N16" i="53"/>
  <c r="O16" i="53" s="1"/>
  <c r="K14" i="53"/>
  <c r="R55" i="53"/>
  <c r="L31" i="53"/>
  <c r="P31" i="53" s="1"/>
  <c r="N55" i="53"/>
  <c r="N14" i="53"/>
  <c r="O14" i="53" s="1"/>
  <c r="R14" i="53"/>
  <c r="R28" i="53"/>
  <c r="P58" i="53"/>
  <c r="Q58" i="53" s="1"/>
  <c r="K52" i="53"/>
  <c r="I524" i="15"/>
  <c r="K524" i="15" s="1"/>
  <c r="I731" i="15"/>
  <c r="K731" i="15" s="1"/>
  <c r="I86" i="15"/>
  <c r="K86" i="15" s="1"/>
  <c r="L86" i="15" s="1"/>
  <c r="I216" i="15"/>
  <c r="K216" i="15" s="1"/>
  <c r="I280" i="15"/>
  <c r="K280" i="15" s="1"/>
  <c r="I604" i="15"/>
  <c r="K604" i="15" s="1"/>
  <c r="I664" i="15"/>
  <c r="K664" i="15" s="1"/>
  <c r="P15" i="53"/>
  <c r="P52" i="53"/>
  <c r="Q52" i="53" s="1"/>
  <c r="I51" i="61"/>
  <c r="M51" i="61" s="1"/>
  <c r="L51" i="60"/>
  <c r="P51" i="60" s="1"/>
  <c r="M51" i="60"/>
  <c r="L11" i="53"/>
  <c r="R11" i="53" s="1"/>
  <c r="L51" i="53"/>
  <c r="M47" i="53"/>
  <c r="M51" i="53"/>
  <c r="M47" i="54"/>
  <c r="L47" i="53"/>
  <c r="K47" i="53" s="1"/>
  <c r="M33" i="53"/>
  <c r="L47" i="54"/>
  <c r="K47" i="54" s="1"/>
  <c r="Q16" i="53"/>
  <c r="E182" i="15"/>
  <c r="R16" i="53"/>
  <c r="L32" i="54"/>
  <c r="N32" i="54" s="1"/>
  <c r="O32" i="54" s="1"/>
  <c r="H182" i="15"/>
  <c r="G215" i="15"/>
  <c r="J4" i="15"/>
  <c r="J3" i="15" s="1"/>
  <c r="I758" i="15"/>
  <c r="I757" i="15" s="1"/>
  <c r="F215" i="15"/>
  <c r="P27" i="53"/>
  <c r="Q27" i="53" s="1"/>
  <c r="K16" i="53"/>
  <c r="Q28" i="53"/>
  <c r="M10" i="53"/>
  <c r="M39" i="53"/>
  <c r="M37" i="53" s="1"/>
  <c r="L45" i="54"/>
  <c r="K45" i="54" s="1"/>
  <c r="J9" i="53"/>
  <c r="E257" i="15"/>
  <c r="E560" i="15"/>
  <c r="I171" i="15"/>
  <c r="K171" i="15" s="1"/>
  <c r="L171" i="15" s="1"/>
  <c r="I648" i="15"/>
  <c r="K648" i="15" s="1"/>
  <c r="I711" i="15"/>
  <c r="K711" i="15" s="1"/>
  <c r="R54" i="53"/>
  <c r="K27" i="53"/>
  <c r="R52" i="53"/>
  <c r="I37" i="54"/>
  <c r="L35" i="53"/>
  <c r="K35" i="53" s="1"/>
  <c r="L39" i="53"/>
  <c r="N39" i="53" s="1"/>
  <c r="O39" i="53" s="1"/>
  <c r="Q15" i="53"/>
  <c r="L32" i="53"/>
  <c r="N32" i="53" s="1"/>
  <c r="O32" i="53" s="1"/>
  <c r="J182" i="15"/>
  <c r="K632" i="15"/>
  <c r="I29" i="60"/>
  <c r="I29" i="61" s="1"/>
  <c r="I31" i="62" s="1"/>
  <c r="M29" i="54"/>
  <c r="I33" i="60"/>
  <c r="L33" i="54"/>
  <c r="P33" i="54" s="1"/>
  <c r="M33" i="54"/>
  <c r="L29" i="53"/>
  <c r="N29" i="53" s="1"/>
  <c r="O29" i="53" s="1"/>
  <c r="M29" i="53"/>
  <c r="I12" i="60"/>
  <c r="L12" i="60" s="1"/>
  <c r="M12" i="54"/>
  <c r="L12" i="54"/>
  <c r="P12" i="54" s="1"/>
  <c r="P34" i="53"/>
  <c r="K34" i="53"/>
  <c r="N34" i="53"/>
  <c r="O34" i="53" s="1"/>
  <c r="I32" i="61"/>
  <c r="I34" i="62" s="1"/>
  <c r="I34" i="63" s="1"/>
  <c r="I34" i="64" s="1"/>
  <c r="M32" i="60"/>
  <c r="K757" i="15"/>
  <c r="F560" i="15"/>
  <c r="F614" i="15"/>
  <c r="I33" i="15"/>
  <c r="K33" i="15" s="1"/>
  <c r="L33" i="15" s="1"/>
  <c r="M46" i="62"/>
  <c r="L46" i="62"/>
  <c r="F182" i="15"/>
  <c r="R36" i="53"/>
  <c r="P57" i="53"/>
  <c r="Q57" i="53" s="1"/>
  <c r="M32" i="54"/>
  <c r="L29" i="54"/>
  <c r="K29" i="54" s="1"/>
  <c r="L44" i="60"/>
  <c r="P44" i="60" s="1"/>
  <c r="Q44" i="60" s="1"/>
  <c r="M12" i="53"/>
  <c r="M43" i="53"/>
  <c r="R56" i="53"/>
  <c r="N56" i="53"/>
  <c r="H3" i="15"/>
  <c r="H560" i="15"/>
  <c r="H614" i="15"/>
  <c r="G182" i="15"/>
  <c r="I450" i="15"/>
  <c r="K450" i="15" s="1"/>
  <c r="L450" i="15" s="1"/>
  <c r="G560" i="15"/>
  <c r="G614" i="15"/>
  <c r="J215" i="15"/>
  <c r="J748" i="15"/>
  <c r="J614" i="15" s="1"/>
  <c r="I543" i="15"/>
  <c r="K543" i="15" s="1"/>
  <c r="I517" i="15"/>
  <c r="K517" i="15" s="1"/>
  <c r="P54" i="53"/>
  <c r="Q54" i="53" s="1"/>
  <c r="N57" i="53"/>
  <c r="O57" i="53" s="1"/>
  <c r="K57" i="53"/>
  <c r="L44" i="54"/>
  <c r="N44" i="54" s="1"/>
  <c r="O44" i="54" s="1"/>
  <c r="M51" i="54"/>
  <c r="Q14" i="53"/>
  <c r="M44" i="53"/>
  <c r="L44" i="53"/>
  <c r="P44" i="53" s="1"/>
  <c r="H257" i="15"/>
  <c r="G3" i="15"/>
  <c r="N28" i="53"/>
  <c r="M44" i="54"/>
  <c r="L51" i="54"/>
  <c r="L12" i="53"/>
  <c r="N12" i="53" s="1"/>
  <c r="O12" i="53" s="1"/>
  <c r="L43" i="53"/>
  <c r="M32" i="53"/>
  <c r="H215" i="15"/>
  <c r="U49" i="56"/>
  <c r="O79" i="56"/>
  <c r="M79" i="56"/>
  <c r="S37" i="56"/>
  <c r="U45" i="56"/>
  <c r="U32" i="56"/>
  <c r="U26" i="56"/>
  <c r="U53" i="56"/>
  <c r="U48" i="56"/>
  <c r="U57" i="56"/>
  <c r="T76" i="56"/>
  <c r="U66" i="56"/>
  <c r="U60" i="56"/>
  <c r="T43" i="56"/>
  <c r="U43" i="56" s="1"/>
  <c r="L79" i="56"/>
  <c r="N33" i="56"/>
  <c r="N79" i="56" s="1"/>
  <c r="I539" i="15"/>
  <c r="K539" i="15" s="1"/>
  <c r="F257" i="15"/>
  <c r="I10" i="60"/>
  <c r="M10" i="60" s="1"/>
  <c r="M10" i="54"/>
  <c r="G257" i="15"/>
  <c r="I24" i="54"/>
  <c r="L24" i="53"/>
  <c r="M24" i="53"/>
  <c r="M21" i="53" s="1"/>
  <c r="J26" i="53"/>
  <c r="K68" i="15"/>
  <c r="I615" i="15"/>
  <c r="K615" i="15" s="1"/>
  <c r="M45" i="53"/>
  <c r="M35" i="53"/>
  <c r="L49" i="54"/>
  <c r="K758" i="15"/>
  <c r="J587" i="15"/>
  <c r="J560" i="15" s="1"/>
  <c r="F3" i="15"/>
  <c r="K412" i="15"/>
  <c r="L412" i="15" s="1"/>
  <c r="K39" i="54"/>
  <c r="L37" i="54"/>
  <c r="K32" i="54"/>
  <c r="I39" i="61"/>
  <c r="I41" i="62" s="1"/>
  <c r="I41" i="63" s="1"/>
  <c r="I41" i="64" s="1"/>
  <c r="M39" i="60"/>
  <c r="L39" i="60"/>
  <c r="M39" i="54"/>
  <c r="I18" i="54"/>
  <c r="L18" i="53"/>
  <c r="M18" i="53"/>
  <c r="J17" i="53"/>
  <c r="I34" i="54"/>
  <c r="M34" i="53"/>
  <c r="I43" i="60"/>
  <c r="L43" i="54"/>
  <c r="M43" i="54"/>
  <c r="I49" i="61"/>
  <c r="I51" i="62" s="1"/>
  <c r="I51" i="63" s="1"/>
  <c r="I51" i="64" s="1"/>
  <c r="L49" i="60"/>
  <c r="I45" i="61"/>
  <c r="I47" i="62" s="1"/>
  <c r="I47" i="63" s="1"/>
  <c r="I47" i="64" s="1"/>
  <c r="L45" i="60"/>
  <c r="M45" i="60"/>
  <c r="L10" i="54"/>
  <c r="L32" i="60"/>
  <c r="I11" i="60"/>
  <c r="L11" i="54"/>
  <c r="M11" i="54"/>
  <c r="I31" i="60"/>
  <c r="M31" i="54"/>
  <c r="L31" i="54"/>
  <c r="I48" i="54"/>
  <c r="L48" i="53"/>
  <c r="M48" i="53"/>
  <c r="L44" i="61"/>
  <c r="M44" i="61"/>
  <c r="I19" i="54"/>
  <c r="L19" i="53"/>
  <c r="M19" i="53"/>
  <c r="I35" i="60"/>
  <c r="M35" i="54"/>
  <c r="L35" i="54"/>
  <c r="I47" i="61"/>
  <c r="I49" i="62" s="1"/>
  <c r="I49" i="63" s="1"/>
  <c r="I49" i="64" s="1"/>
  <c r="L47" i="60"/>
  <c r="I23" i="54"/>
  <c r="L23" i="53"/>
  <c r="J21" i="53"/>
  <c r="I30" i="54"/>
  <c r="L30" i="53"/>
  <c r="M30" i="53"/>
  <c r="I46" i="54"/>
  <c r="L46" i="53"/>
  <c r="J42" i="53"/>
  <c r="J257" i="15"/>
  <c r="C79" i="56"/>
  <c r="U61" i="56"/>
  <c r="U28" i="56"/>
  <c r="T38" i="56"/>
  <c r="U38" i="56" s="1"/>
  <c r="T23" i="56"/>
  <c r="H16" i="56"/>
  <c r="J11" i="56"/>
  <c r="K11" i="56" s="1"/>
  <c r="L11" i="56" s="1"/>
  <c r="H13" i="56"/>
  <c r="J10" i="56"/>
  <c r="I13" i="56"/>
  <c r="J12" i="56"/>
  <c r="K12" i="56" s="1"/>
  <c r="I16" i="56"/>
  <c r="G13" i="56"/>
  <c r="G16" i="56" s="1"/>
  <c r="D79" i="56"/>
  <c r="G23" i="56"/>
  <c r="I4" i="15"/>
  <c r="Q16" i="61"/>
  <c r="H8" i="61"/>
  <c r="H61" i="61"/>
  <c r="K12" i="54" l="1"/>
  <c r="R31" i="53"/>
  <c r="K10" i="53"/>
  <c r="N10" i="53"/>
  <c r="R49" i="53"/>
  <c r="L49" i="64"/>
  <c r="M49" i="64"/>
  <c r="M51" i="64"/>
  <c r="L51" i="64"/>
  <c r="L47" i="64"/>
  <c r="M47" i="64"/>
  <c r="M41" i="64"/>
  <c r="L41" i="64"/>
  <c r="I39" i="64"/>
  <c r="P45" i="53"/>
  <c r="Q45" i="53" s="1"/>
  <c r="K46" i="64"/>
  <c r="N46" i="64"/>
  <c r="O46" i="64" s="1"/>
  <c r="R46" i="64"/>
  <c r="P46" i="64"/>
  <c r="Q46" i="64" s="1"/>
  <c r="M34" i="64"/>
  <c r="L34" i="64"/>
  <c r="R10" i="53"/>
  <c r="N45" i="53"/>
  <c r="O45" i="53" s="1"/>
  <c r="R35" i="53"/>
  <c r="Q31" i="53"/>
  <c r="K11" i="53"/>
  <c r="O39" i="54"/>
  <c r="I614" i="15"/>
  <c r="K614" i="15" s="1"/>
  <c r="N12" i="54"/>
  <c r="O12" i="54" s="1"/>
  <c r="I182" i="15"/>
  <c r="K182" i="15" s="1"/>
  <c r="R51" i="53"/>
  <c r="K183" i="15"/>
  <c r="L183" i="15" s="1"/>
  <c r="L47" i="63"/>
  <c r="M47" i="63"/>
  <c r="P46" i="63"/>
  <c r="Q46" i="63" s="1"/>
  <c r="K46" i="63"/>
  <c r="N46" i="63"/>
  <c r="O46" i="63" s="1"/>
  <c r="R46" i="63"/>
  <c r="M49" i="63"/>
  <c r="L49" i="63"/>
  <c r="M51" i="63"/>
  <c r="L51" i="63"/>
  <c r="M34" i="63"/>
  <c r="L34" i="63"/>
  <c r="L41" i="63"/>
  <c r="M41" i="63"/>
  <c r="I39" i="63"/>
  <c r="L31" i="62"/>
  <c r="K31" i="62" s="1"/>
  <c r="I31" i="63"/>
  <c r="I31" i="64" s="1"/>
  <c r="K33" i="54"/>
  <c r="N37" i="53"/>
  <c r="O37" i="53" s="1"/>
  <c r="I3" i="15"/>
  <c r="K3" i="15" s="1"/>
  <c r="M29" i="61"/>
  <c r="P44" i="54"/>
  <c r="Q44" i="54" s="1"/>
  <c r="L51" i="61"/>
  <c r="K51" i="61" s="1"/>
  <c r="R33" i="53"/>
  <c r="I53" i="62"/>
  <c r="I53" i="63" s="1"/>
  <c r="I53" i="64" s="1"/>
  <c r="I215" i="15"/>
  <c r="K215" i="15" s="1"/>
  <c r="E214" i="15"/>
  <c r="E772" i="15"/>
  <c r="I560" i="15"/>
  <c r="K560" i="15" s="1"/>
  <c r="Q51" i="60"/>
  <c r="P49" i="53"/>
  <c r="Q49" i="53" s="1"/>
  <c r="N49" i="53"/>
  <c r="O49" i="53" s="1"/>
  <c r="P33" i="53"/>
  <c r="Q33" i="53" s="1"/>
  <c r="K33" i="53"/>
  <c r="P45" i="54"/>
  <c r="Q45" i="54" s="1"/>
  <c r="N35" i="53"/>
  <c r="O35" i="53" s="1"/>
  <c r="M32" i="61"/>
  <c r="L32" i="61"/>
  <c r="P32" i="61" s="1"/>
  <c r="I10" i="61"/>
  <c r="I11" i="62" s="1"/>
  <c r="M11" i="62" s="1"/>
  <c r="P32" i="54"/>
  <c r="Q32" i="54" s="1"/>
  <c r="N44" i="53"/>
  <c r="O44" i="53" s="1"/>
  <c r="R32" i="54"/>
  <c r="F214" i="15"/>
  <c r="R45" i="54"/>
  <c r="N45" i="54"/>
  <c r="O45" i="54" s="1"/>
  <c r="R51" i="60"/>
  <c r="N31" i="53"/>
  <c r="O31" i="53" s="1"/>
  <c r="K31" i="53"/>
  <c r="P35" i="53"/>
  <c r="Q35" i="53" s="1"/>
  <c r="I257" i="15"/>
  <c r="G772" i="15"/>
  <c r="J214" i="15"/>
  <c r="P47" i="53"/>
  <c r="Q47" i="53" s="1"/>
  <c r="M31" i="62"/>
  <c r="L29" i="61"/>
  <c r="P29" i="61" s="1"/>
  <c r="M29" i="60"/>
  <c r="R47" i="53"/>
  <c r="Q10" i="53"/>
  <c r="P39" i="53"/>
  <c r="P37" i="53" s="1"/>
  <c r="N47" i="54"/>
  <c r="O47" i="54" s="1"/>
  <c r="P47" i="54"/>
  <c r="Q47" i="54" s="1"/>
  <c r="P51" i="53"/>
  <c r="N51" i="53"/>
  <c r="O51" i="53" s="1"/>
  <c r="K51" i="53"/>
  <c r="R47" i="54"/>
  <c r="K51" i="60"/>
  <c r="L29" i="60"/>
  <c r="P29" i="60" s="1"/>
  <c r="N51" i="60"/>
  <c r="O51" i="60" s="1"/>
  <c r="N47" i="53"/>
  <c r="O47" i="53" s="1"/>
  <c r="Q51" i="53"/>
  <c r="P11" i="53"/>
  <c r="Q11" i="53" s="1"/>
  <c r="N11" i="53"/>
  <c r="O11" i="53" s="1"/>
  <c r="I9" i="54"/>
  <c r="M9" i="53"/>
  <c r="P9" i="53" s="1"/>
  <c r="Q9" i="53" s="1"/>
  <c r="R39" i="53"/>
  <c r="J8" i="53"/>
  <c r="J61" i="53" s="1"/>
  <c r="Q12" i="54"/>
  <c r="L37" i="53"/>
  <c r="K37" i="53" s="1"/>
  <c r="G214" i="15"/>
  <c r="L9" i="53"/>
  <c r="K9" i="53" s="1"/>
  <c r="P32" i="53"/>
  <c r="Q32" i="53" s="1"/>
  <c r="K32" i="53"/>
  <c r="K4" i="15"/>
  <c r="L4" i="15" s="1"/>
  <c r="K257" i="15"/>
  <c r="K39" i="53"/>
  <c r="K748" i="15"/>
  <c r="H214" i="15"/>
  <c r="R29" i="53"/>
  <c r="Q33" i="54"/>
  <c r="I33" i="61"/>
  <c r="M33" i="60"/>
  <c r="L33" i="60"/>
  <c r="L10" i="60"/>
  <c r="P10" i="60" s="1"/>
  <c r="Q10" i="60" s="1"/>
  <c r="N33" i="54"/>
  <c r="O33" i="54" s="1"/>
  <c r="R12" i="54"/>
  <c r="Q44" i="53"/>
  <c r="R32" i="53"/>
  <c r="K29" i="53"/>
  <c r="P29" i="53"/>
  <c r="Q29" i="53" s="1"/>
  <c r="R33" i="54"/>
  <c r="M47" i="62"/>
  <c r="L47" i="62"/>
  <c r="N51" i="54"/>
  <c r="O51" i="54" s="1"/>
  <c r="K51" i="54"/>
  <c r="P51" i="54"/>
  <c r="Q51" i="54" s="1"/>
  <c r="K44" i="54"/>
  <c r="R44" i="54"/>
  <c r="P29" i="54"/>
  <c r="Q29" i="54" s="1"/>
  <c r="N29" i="54"/>
  <c r="O29" i="54" s="1"/>
  <c r="R29" i="54"/>
  <c r="M34" i="62"/>
  <c r="L34" i="62"/>
  <c r="M41" i="62"/>
  <c r="I39" i="62"/>
  <c r="L41" i="62"/>
  <c r="K43" i="53"/>
  <c r="P43" i="53"/>
  <c r="Q43" i="53" s="1"/>
  <c r="N43" i="53"/>
  <c r="O43" i="53" s="1"/>
  <c r="K44" i="60"/>
  <c r="N44" i="60"/>
  <c r="O44" i="60" s="1"/>
  <c r="N46" i="62"/>
  <c r="O46" i="62" s="1"/>
  <c r="P46" i="62"/>
  <c r="Q46" i="62" s="1"/>
  <c r="K46" i="62"/>
  <c r="R46" i="62"/>
  <c r="R44" i="60"/>
  <c r="L51" i="62"/>
  <c r="M51" i="62"/>
  <c r="K12" i="53"/>
  <c r="P12" i="53"/>
  <c r="Q12" i="53" s="1"/>
  <c r="R12" i="53"/>
  <c r="R44" i="53"/>
  <c r="K44" i="53"/>
  <c r="H772" i="15"/>
  <c r="I12" i="61"/>
  <c r="M12" i="60"/>
  <c r="R12" i="60" s="1"/>
  <c r="M49" i="62"/>
  <c r="L49" i="62"/>
  <c r="R51" i="54"/>
  <c r="M53" i="62"/>
  <c r="U76" i="56"/>
  <c r="T65" i="56"/>
  <c r="U65" i="56" s="1"/>
  <c r="R33" i="56"/>
  <c r="R79" i="56" s="1"/>
  <c r="S33" i="56"/>
  <c r="S79" i="56" s="1"/>
  <c r="Q33" i="56"/>
  <c r="Q79" i="56" s="1"/>
  <c r="P12" i="60"/>
  <c r="K12" i="60"/>
  <c r="N12" i="60"/>
  <c r="O12" i="60" s="1"/>
  <c r="I24" i="60"/>
  <c r="M24" i="54"/>
  <c r="L24" i="54"/>
  <c r="F772" i="15"/>
  <c r="R45" i="53"/>
  <c r="K24" i="53"/>
  <c r="P24" i="53"/>
  <c r="N24" i="53"/>
  <c r="O24" i="53" s="1"/>
  <c r="R24" i="53"/>
  <c r="N49" i="54"/>
  <c r="O49" i="54" s="1"/>
  <c r="R49" i="54"/>
  <c r="P49" i="54"/>
  <c r="Q49" i="54" s="1"/>
  <c r="K49" i="54"/>
  <c r="K587" i="15"/>
  <c r="Q24" i="53"/>
  <c r="M47" i="61"/>
  <c r="L47" i="61"/>
  <c r="I48" i="60"/>
  <c r="L48" i="54"/>
  <c r="M48" i="54"/>
  <c r="I31" i="61"/>
  <c r="I33" i="62" s="1"/>
  <c r="I33" i="63" s="1"/>
  <c r="I33" i="64" s="1"/>
  <c r="L31" i="60"/>
  <c r="M31" i="60"/>
  <c r="M49" i="61"/>
  <c r="L49" i="61"/>
  <c r="I34" i="60"/>
  <c r="L34" i="54"/>
  <c r="M34" i="54"/>
  <c r="I18" i="60"/>
  <c r="I17" i="54"/>
  <c r="L18" i="54"/>
  <c r="M18" i="54"/>
  <c r="P39" i="60"/>
  <c r="P37" i="60" s="1"/>
  <c r="M37" i="60"/>
  <c r="M26" i="53"/>
  <c r="K37" i="54"/>
  <c r="N30" i="53"/>
  <c r="P30" i="53"/>
  <c r="R30" i="53"/>
  <c r="L26" i="53"/>
  <c r="K26" i="53" s="1"/>
  <c r="K30" i="53"/>
  <c r="P19" i="53"/>
  <c r="Q19" i="53" s="1"/>
  <c r="R19" i="53"/>
  <c r="N19" i="53"/>
  <c r="P44" i="61"/>
  <c r="Q44" i="61" s="1"/>
  <c r="N44" i="61"/>
  <c r="O44" i="61" s="1"/>
  <c r="R44" i="61"/>
  <c r="K44" i="61"/>
  <c r="K11" i="54"/>
  <c r="P11" i="54"/>
  <c r="Q11" i="54" s="1"/>
  <c r="N11" i="54"/>
  <c r="O11" i="54" s="1"/>
  <c r="R11" i="54"/>
  <c r="N45" i="60"/>
  <c r="O45" i="60" s="1"/>
  <c r="K45" i="60"/>
  <c r="R45" i="60"/>
  <c r="P45" i="60"/>
  <c r="Q45" i="60" s="1"/>
  <c r="M37" i="54"/>
  <c r="R37" i="54" s="1"/>
  <c r="R39" i="54"/>
  <c r="P39" i="54"/>
  <c r="P37" i="54" s="1"/>
  <c r="L39" i="61"/>
  <c r="M39" i="61"/>
  <c r="I37" i="61"/>
  <c r="R35" i="54"/>
  <c r="P35" i="54"/>
  <c r="Q35" i="54" s="1"/>
  <c r="N35" i="54"/>
  <c r="O35" i="54" s="1"/>
  <c r="K35" i="54"/>
  <c r="P46" i="53"/>
  <c r="N46" i="53"/>
  <c r="R46" i="53"/>
  <c r="K46" i="53"/>
  <c r="L42" i="53"/>
  <c r="I30" i="60"/>
  <c r="M30" i="54"/>
  <c r="I26" i="54"/>
  <c r="L30" i="54"/>
  <c r="P23" i="53"/>
  <c r="R23" i="53"/>
  <c r="K23" i="53"/>
  <c r="L21" i="53"/>
  <c r="K21" i="53" s="1"/>
  <c r="N23" i="53"/>
  <c r="I19" i="60"/>
  <c r="L19" i="54"/>
  <c r="M19" i="54"/>
  <c r="M42" i="53"/>
  <c r="P31" i="54"/>
  <c r="Q31" i="54" s="1"/>
  <c r="K31" i="54"/>
  <c r="R31" i="54"/>
  <c r="N31" i="54"/>
  <c r="O31" i="54" s="1"/>
  <c r="L11" i="60"/>
  <c r="M11" i="60"/>
  <c r="I11" i="61"/>
  <c r="K32" i="60"/>
  <c r="P32" i="60"/>
  <c r="Q32" i="60" s="1"/>
  <c r="N32" i="60"/>
  <c r="O32" i="60" s="1"/>
  <c r="R32" i="60"/>
  <c r="M45" i="61"/>
  <c r="L45" i="61"/>
  <c r="K43" i="54"/>
  <c r="P43" i="54"/>
  <c r="N43" i="54"/>
  <c r="P18" i="53"/>
  <c r="M17" i="53"/>
  <c r="I46" i="60"/>
  <c r="L46" i="54"/>
  <c r="M46" i="54"/>
  <c r="I42" i="54"/>
  <c r="I23" i="60"/>
  <c r="M23" i="54"/>
  <c r="I21" i="54"/>
  <c r="L23" i="54"/>
  <c r="R47" i="60"/>
  <c r="K47" i="60"/>
  <c r="P47" i="60"/>
  <c r="Q47" i="60" s="1"/>
  <c r="N47" i="60"/>
  <c r="O47" i="60" s="1"/>
  <c r="I35" i="61"/>
  <c r="I37" i="62" s="1"/>
  <c r="I37" i="63" s="1"/>
  <c r="I37" i="64" s="1"/>
  <c r="L35" i="60"/>
  <c r="M35" i="60"/>
  <c r="P48" i="53"/>
  <c r="Q48" i="53" s="1"/>
  <c r="N48" i="53"/>
  <c r="K48" i="53"/>
  <c r="K10" i="54"/>
  <c r="N10" i="54"/>
  <c r="O10" i="54" s="1"/>
  <c r="P10" i="54"/>
  <c r="R10" i="54"/>
  <c r="N49" i="60"/>
  <c r="O49" i="60" s="1"/>
  <c r="R49" i="60"/>
  <c r="P49" i="60"/>
  <c r="Q49" i="60" s="1"/>
  <c r="K49" i="60"/>
  <c r="I43" i="61"/>
  <c r="I45" i="62" s="1"/>
  <c r="I45" i="63" s="1"/>
  <c r="I45" i="64" s="1"/>
  <c r="L43" i="60"/>
  <c r="M43" i="60"/>
  <c r="Q34" i="53"/>
  <c r="R34" i="53"/>
  <c r="K18" i="53"/>
  <c r="L17" i="53"/>
  <c r="R18" i="53"/>
  <c r="N18" i="53"/>
  <c r="R39" i="60"/>
  <c r="K39" i="60"/>
  <c r="L37" i="60"/>
  <c r="N39" i="60"/>
  <c r="O10" i="53"/>
  <c r="J772" i="15"/>
  <c r="T37" i="56"/>
  <c r="U37" i="56" s="1"/>
  <c r="K9" i="56"/>
  <c r="L9" i="56" s="1"/>
  <c r="J13" i="56"/>
  <c r="J16" i="56" s="1"/>
  <c r="L12" i="56"/>
  <c r="K13" i="56"/>
  <c r="K16" i="56" s="1"/>
  <c r="K10" i="56"/>
  <c r="L10" i="56" s="1"/>
  <c r="G79" i="56"/>
  <c r="U23" i="56"/>
  <c r="P31" i="62" l="1"/>
  <c r="R31" i="62"/>
  <c r="R48" i="53"/>
  <c r="Q29" i="61"/>
  <c r="L37" i="64"/>
  <c r="M37" i="64"/>
  <c r="M53" i="64"/>
  <c r="L53" i="64"/>
  <c r="L31" i="64"/>
  <c r="M31" i="64"/>
  <c r="K34" i="64"/>
  <c r="P34" i="64"/>
  <c r="Q34" i="64" s="1"/>
  <c r="R34" i="64"/>
  <c r="N34" i="64"/>
  <c r="O34" i="64" s="1"/>
  <c r="N41" i="64"/>
  <c r="L39" i="64"/>
  <c r="K41" i="64"/>
  <c r="R41" i="64"/>
  <c r="N51" i="64"/>
  <c r="O51" i="64" s="1"/>
  <c r="K51" i="64"/>
  <c r="P51" i="64"/>
  <c r="Q51" i="64" s="1"/>
  <c r="R51" i="64"/>
  <c r="P41" i="64"/>
  <c r="M39" i="64"/>
  <c r="M45" i="64"/>
  <c r="L45" i="64"/>
  <c r="L33" i="64"/>
  <c r="M33" i="64"/>
  <c r="R49" i="64"/>
  <c r="K47" i="64"/>
  <c r="P47" i="64"/>
  <c r="Q47" i="64" s="1"/>
  <c r="R47" i="64"/>
  <c r="N47" i="64"/>
  <c r="O47" i="64" s="1"/>
  <c r="P49" i="64"/>
  <c r="Q49" i="64" s="1"/>
  <c r="N49" i="64"/>
  <c r="O49" i="64" s="1"/>
  <c r="K49" i="64"/>
  <c r="N31" i="62"/>
  <c r="R51" i="61"/>
  <c r="R29" i="61"/>
  <c r="I772" i="15"/>
  <c r="K772" i="15" s="1"/>
  <c r="M10" i="61"/>
  <c r="N29" i="60"/>
  <c r="O29" i="60" s="1"/>
  <c r="M45" i="63"/>
  <c r="L45" i="63"/>
  <c r="L37" i="63"/>
  <c r="M37" i="63"/>
  <c r="L33" i="63"/>
  <c r="M33" i="63"/>
  <c r="P34" i="63"/>
  <c r="Q34" i="63" s="1"/>
  <c r="R34" i="63"/>
  <c r="K34" i="63"/>
  <c r="N34" i="63"/>
  <c r="O34" i="63" s="1"/>
  <c r="N49" i="63"/>
  <c r="O49" i="63" s="1"/>
  <c r="K49" i="63"/>
  <c r="R49" i="63"/>
  <c r="P49" i="63"/>
  <c r="Q49" i="63" s="1"/>
  <c r="L53" i="63"/>
  <c r="M53" i="63"/>
  <c r="R17" i="53"/>
  <c r="L53" i="62"/>
  <c r="P53" i="62" s="1"/>
  <c r="Q53" i="62" s="1"/>
  <c r="Q29" i="60"/>
  <c r="L11" i="62"/>
  <c r="P11" i="62" s="1"/>
  <c r="Q11" i="62" s="1"/>
  <c r="I11" i="63"/>
  <c r="I11" i="64" s="1"/>
  <c r="P41" i="63"/>
  <c r="M39" i="63"/>
  <c r="R51" i="63"/>
  <c r="P51" i="63"/>
  <c r="Q51" i="63" s="1"/>
  <c r="N51" i="63"/>
  <c r="O51" i="63" s="1"/>
  <c r="K51" i="63"/>
  <c r="L31" i="63"/>
  <c r="M31" i="63"/>
  <c r="R41" i="63"/>
  <c r="L39" i="63"/>
  <c r="K39" i="63" s="1"/>
  <c r="K41" i="63"/>
  <c r="N41" i="63"/>
  <c r="R47" i="63"/>
  <c r="K47" i="63"/>
  <c r="N47" i="63"/>
  <c r="O47" i="63" s="1"/>
  <c r="P47" i="63"/>
  <c r="Q47" i="63" s="1"/>
  <c r="N29" i="61"/>
  <c r="L10" i="61"/>
  <c r="P10" i="61" s="1"/>
  <c r="R29" i="60"/>
  <c r="K29" i="60"/>
  <c r="K29" i="61"/>
  <c r="P17" i="53"/>
  <c r="Q32" i="61"/>
  <c r="N51" i="61"/>
  <c r="O51" i="61" s="1"/>
  <c r="K214" i="15"/>
  <c r="P51" i="61"/>
  <c r="Q51" i="61" s="1"/>
  <c r="I214" i="15"/>
  <c r="R32" i="61"/>
  <c r="N32" i="61"/>
  <c r="O32" i="61" s="1"/>
  <c r="K32" i="61"/>
  <c r="R48" i="60"/>
  <c r="Q8" i="53"/>
  <c r="R10" i="60"/>
  <c r="R37" i="53"/>
  <c r="R21" i="53"/>
  <c r="R43" i="53"/>
  <c r="R48" i="54"/>
  <c r="K10" i="60"/>
  <c r="Q39" i="53"/>
  <c r="Q37" i="53" s="1"/>
  <c r="L8" i="53"/>
  <c r="K8" i="53" s="1"/>
  <c r="R9" i="53"/>
  <c r="R8" i="53" s="1"/>
  <c r="P8" i="53"/>
  <c r="N10" i="60"/>
  <c r="O10" i="60" s="1"/>
  <c r="M8" i="53"/>
  <c r="M61" i="53" s="1"/>
  <c r="I9" i="60"/>
  <c r="M9" i="54"/>
  <c r="L9" i="54"/>
  <c r="I8" i="54"/>
  <c r="I61" i="54" s="1"/>
  <c r="I42" i="60"/>
  <c r="P26" i="53"/>
  <c r="N9" i="53"/>
  <c r="O9" i="53" s="1"/>
  <c r="P33" i="60"/>
  <c r="N33" i="60"/>
  <c r="O33" i="60" s="1"/>
  <c r="K33" i="60"/>
  <c r="R33" i="60"/>
  <c r="Q33" i="60"/>
  <c r="Q12" i="60"/>
  <c r="L33" i="61"/>
  <c r="I35" i="62"/>
  <c r="I35" i="63" s="1"/>
  <c r="I35" i="64" s="1"/>
  <c r="M33" i="61"/>
  <c r="L37" i="62"/>
  <c r="M37" i="62"/>
  <c r="R11" i="62"/>
  <c r="Q31" i="62"/>
  <c r="K41" i="62"/>
  <c r="L39" i="62"/>
  <c r="N41" i="62"/>
  <c r="R41" i="62"/>
  <c r="K34" i="62"/>
  <c r="P34" i="62"/>
  <c r="Q34" i="62" s="1"/>
  <c r="R34" i="62"/>
  <c r="N34" i="62"/>
  <c r="O34" i="62" s="1"/>
  <c r="I13" i="62"/>
  <c r="I13" i="63" s="1"/>
  <c r="I13" i="64" s="1"/>
  <c r="M12" i="61"/>
  <c r="L12" i="61"/>
  <c r="O31" i="62"/>
  <c r="R47" i="62"/>
  <c r="K47" i="62"/>
  <c r="N47" i="62"/>
  <c r="O47" i="62" s="1"/>
  <c r="P47" i="62"/>
  <c r="Q47" i="62" s="1"/>
  <c r="M45" i="62"/>
  <c r="L45" i="62"/>
  <c r="P49" i="62"/>
  <c r="Q49" i="62" s="1"/>
  <c r="N49" i="62"/>
  <c r="O49" i="62" s="1"/>
  <c r="K49" i="62"/>
  <c r="R49" i="62"/>
  <c r="P41" i="62"/>
  <c r="P39" i="62" s="1"/>
  <c r="M39" i="62"/>
  <c r="I12" i="62"/>
  <c r="I12" i="63" s="1"/>
  <c r="I12" i="64" s="1"/>
  <c r="M33" i="62"/>
  <c r="L33" i="62"/>
  <c r="R53" i="62"/>
  <c r="K53" i="62"/>
  <c r="N53" i="62"/>
  <c r="O53" i="62" s="1"/>
  <c r="N51" i="62"/>
  <c r="O51" i="62" s="1"/>
  <c r="K51" i="62"/>
  <c r="R51" i="62"/>
  <c r="P51" i="62"/>
  <c r="Q51" i="62" s="1"/>
  <c r="T36" i="56"/>
  <c r="N24" i="54"/>
  <c r="O24" i="54" s="1"/>
  <c r="K24" i="54"/>
  <c r="P24" i="54"/>
  <c r="Q24" i="54" s="1"/>
  <c r="R24" i="54"/>
  <c r="I24" i="61"/>
  <c r="I25" i="62" s="1"/>
  <c r="I25" i="63" s="1"/>
  <c r="I25" i="64" s="1"/>
  <c r="L24" i="60"/>
  <c r="M24" i="60"/>
  <c r="N17" i="53"/>
  <c r="O17" i="53" s="1"/>
  <c r="O18" i="53"/>
  <c r="K17" i="53"/>
  <c r="O29" i="61"/>
  <c r="O43" i="54"/>
  <c r="R45" i="61"/>
  <c r="K45" i="61"/>
  <c r="P45" i="61"/>
  <c r="Q45" i="61" s="1"/>
  <c r="N45" i="61"/>
  <c r="O45" i="61" s="1"/>
  <c r="P21" i="53"/>
  <c r="Q23" i="53"/>
  <c r="Q21" i="53" s="1"/>
  <c r="I30" i="61"/>
  <c r="I32" i="62" s="1"/>
  <c r="I32" i="63" s="1"/>
  <c r="I32" i="64" s="1"/>
  <c r="L30" i="60"/>
  <c r="M30" i="60"/>
  <c r="I26" i="60"/>
  <c r="O46" i="53"/>
  <c r="N42" i="53"/>
  <c r="O42" i="53" s="1"/>
  <c r="M42" i="54"/>
  <c r="P18" i="54"/>
  <c r="Q18" i="54" s="1"/>
  <c r="M17" i="54"/>
  <c r="L31" i="61"/>
  <c r="M31" i="61"/>
  <c r="Q10" i="54"/>
  <c r="R35" i="60"/>
  <c r="K35" i="60"/>
  <c r="N35" i="60"/>
  <c r="O35" i="60" s="1"/>
  <c r="P35" i="60"/>
  <c r="Q35" i="60" s="1"/>
  <c r="M21" i="54"/>
  <c r="R46" i="54"/>
  <c r="R43" i="54" s="1"/>
  <c r="P46" i="54"/>
  <c r="Q46" i="54" s="1"/>
  <c r="N46" i="54"/>
  <c r="O46" i="54" s="1"/>
  <c r="K46" i="54"/>
  <c r="Q18" i="53"/>
  <c r="Q17" i="53" s="1"/>
  <c r="L42" i="54"/>
  <c r="K11" i="60"/>
  <c r="R11" i="60"/>
  <c r="P11" i="60"/>
  <c r="N11" i="60"/>
  <c r="O11" i="60" s="1"/>
  <c r="P19" i="54"/>
  <c r="Q19" i="54" s="1"/>
  <c r="N19" i="54"/>
  <c r="R19" i="54"/>
  <c r="R30" i="54"/>
  <c r="P30" i="54"/>
  <c r="Q30" i="54" s="1"/>
  <c r="K30" i="54"/>
  <c r="N30" i="54"/>
  <c r="L26" i="54"/>
  <c r="K26" i="54" s="1"/>
  <c r="K42" i="53"/>
  <c r="R42" i="53"/>
  <c r="P42" i="53"/>
  <c r="Q46" i="53"/>
  <c r="Q42" i="53" s="1"/>
  <c r="P39" i="61"/>
  <c r="P37" i="61" s="1"/>
  <c r="M37" i="61"/>
  <c r="Q39" i="54"/>
  <c r="Q37" i="54" s="1"/>
  <c r="Q39" i="60"/>
  <c r="Q37" i="60" s="1"/>
  <c r="L17" i="54"/>
  <c r="R18" i="54"/>
  <c r="K18" i="54"/>
  <c r="N18" i="54"/>
  <c r="N34" i="54"/>
  <c r="O34" i="54" s="1"/>
  <c r="R34" i="54"/>
  <c r="P34" i="54"/>
  <c r="Q34" i="54" s="1"/>
  <c r="K34" i="54"/>
  <c r="R49" i="61"/>
  <c r="N49" i="61"/>
  <c r="O49" i="61" s="1"/>
  <c r="K49" i="61"/>
  <c r="P49" i="61"/>
  <c r="Q49" i="61" s="1"/>
  <c r="Q30" i="53"/>
  <c r="Q26" i="53" s="1"/>
  <c r="M35" i="61"/>
  <c r="L35" i="61"/>
  <c r="O39" i="60"/>
  <c r="N37" i="60"/>
  <c r="O37" i="60" s="1"/>
  <c r="P43" i="60"/>
  <c r="K43" i="60"/>
  <c r="N43" i="60"/>
  <c r="M23" i="60"/>
  <c r="I23" i="61"/>
  <c r="I24" i="62" s="1"/>
  <c r="I24" i="63" s="1"/>
  <c r="I24" i="64" s="1"/>
  <c r="I21" i="60"/>
  <c r="L23" i="60"/>
  <c r="I46" i="61"/>
  <c r="I48" i="62" s="1"/>
  <c r="I48" i="63" s="1"/>
  <c r="I48" i="64" s="1"/>
  <c r="L46" i="60"/>
  <c r="M46" i="60"/>
  <c r="I19" i="61"/>
  <c r="I20" i="62" s="1"/>
  <c r="I20" i="63" s="1"/>
  <c r="I20" i="64" s="1"/>
  <c r="L19" i="60"/>
  <c r="M19" i="60"/>
  <c r="Q19" i="60" s="1"/>
  <c r="L37" i="61"/>
  <c r="R39" i="61"/>
  <c r="N39" i="61"/>
  <c r="K39" i="61"/>
  <c r="I34" i="61"/>
  <c r="I36" i="62" s="1"/>
  <c r="I36" i="63" s="1"/>
  <c r="I36" i="64" s="1"/>
  <c r="L34" i="60"/>
  <c r="M34" i="60"/>
  <c r="P48" i="54"/>
  <c r="Q48" i="54" s="1"/>
  <c r="K48" i="54"/>
  <c r="N48" i="54"/>
  <c r="R37" i="60"/>
  <c r="K37" i="60"/>
  <c r="M43" i="61"/>
  <c r="L43" i="61"/>
  <c r="K23" i="54"/>
  <c r="R23" i="54"/>
  <c r="N23" i="54"/>
  <c r="L21" i="54"/>
  <c r="K21" i="54" s="1"/>
  <c r="P23" i="54"/>
  <c r="M11" i="61"/>
  <c r="L11" i="61"/>
  <c r="M26" i="54"/>
  <c r="Q43" i="54"/>
  <c r="R10" i="61"/>
  <c r="O30" i="53"/>
  <c r="N26" i="53"/>
  <c r="O26" i="53" s="1"/>
  <c r="L18" i="60"/>
  <c r="I18" i="61"/>
  <c r="I19" i="62" s="1"/>
  <c r="I19" i="63" s="1"/>
  <c r="I19" i="64" s="1"/>
  <c r="M18" i="60"/>
  <c r="I17" i="60"/>
  <c r="R31" i="60"/>
  <c r="P31" i="60"/>
  <c r="Q31" i="60" s="1"/>
  <c r="N31" i="60"/>
  <c r="O31" i="60" s="1"/>
  <c r="K31" i="60"/>
  <c r="I48" i="61"/>
  <c r="I50" i="62" s="1"/>
  <c r="I50" i="63" s="1"/>
  <c r="I50" i="64" s="1"/>
  <c r="L48" i="60"/>
  <c r="M48" i="60"/>
  <c r="N47" i="61"/>
  <c r="O47" i="61" s="1"/>
  <c r="R47" i="61"/>
  <c r="P47" i="61"/>
  <c r="Q47" i="61" s="1"/>
  <c r="K47" i="61"/>
  <c r="O23" i="53"/>
  <c r="N21" i="53"/>
  <c r="O21" i="53" s="1"/>
  <c r="L13" i="56"/>
  <c r="L16" i="56" s="1"/>
  <c r="L61" i="53" l="1"/>
  <c r="K61" i="53" s="1"/>
  <c r="R48" i="61"/>
  <c r="M50" i="64"/>
  <c r="L50" i="64"/>
  <c r="M48" i="64"/>
  <c r="L48" i="64"/>
  <c r="P45" i="64"/>
  <c r="K45" i="64"/>
  <c r="N45" i="64"/>
  <c r="O45" i="64" s="1"/>
  <c r="Q41" i="64"/>
  <c r="Q39" i="64" s="1"/>
  <c r="P39" i="64"/>
  <c r="O41" i="64"/>
  <c r="N39" i="64"/>
  <c r="O39" i="64" s="1"/>
  <c r="R53" i="64"/>
  <c r="R50" i="64" s="1"/>
  <c r="P53" i="64"/>
  <c r="Q53" i="64" s="1"/>
  <c r="N53" i="64"/>
  <c r="O53" i="64" s="1"/>
  <c r="K53" i="64"/>
  <c r="L20" i="64"/>
  <c r="M20" i="64"/>
  <c r="Q20" i="64" s="1"/>
  <c r="M12" i="64"/>
  <c r="L12" i="64"/>
  <c r="L13" i="64"/>
  <c r="M13" i="64"/>
  <c r="I44" i="64"/>
  <c r="L36" i="64"/>
  <c r="M36" i="64"/>
  <c r="M25" i="64"/>
  <c r="L25" i="64"/>
  <c r="L11" i="64"/>
  <c r="M11" i="64"/>
  <c r="M44" i="64"/>
  <c r="Q45" i="64"/>
  <c r="K31" i="64"/>
  <c r="N31" i="64"/>
  <c r="R31" i="64"/>
  <c r="P31" i="64"/>
  <c r="M19" i="64"/>
  <c r="I18" i="64"/>
  <c r="L19" i="64"/>
  <c r="M24" i="64"/>
  <c r="I22" i="64"/>
  <c r="L24" i="64"/>
  <c r="L32" i="64"/>
  <c r="L27" i="64" s="1"/>
  <c r="K27" i="64" s="1"/>
  <c r="M32" i="64"/>
  <c r="L35" i="64"/>
  <c r="M35" i="64"/>
  <c r="K33" i="64"/>
  <c r="P33" i="64"/>
  <c r="Q33" i="64" s="1"/>
  <c r="N33" i="64"/>
  <c r="O33" i="64" s="1"/>
  <c r="R33" i="64"/>
  <c r="R39" i="64"/>
  <c r="K39" i="64"/>
  <c r="I27" i="64"/>
  <c r="K37" i="64"/>
  <c r="P37" i="64"/>
  <c r="Q37" i="64" s="1"/>
  <c r="N37" i="64"/>
  <c r="O37" i="64" s="1"/>
  <c r="R37" i="64"/>
  <c r="K10" i="61"/>
  <c r="N10" i="61"/>
  <c r="O10" i="61" s="1"/>
  <c r="R26" i="53"/>
  <c r="N11" i="62"/>
  <c r="O11" i="62" s="1"/>
  <c r="K11" i="62"/>
  <c r="R39" i="63"/>
  <c r="M24" i="63"/>
  <c r="L24" i="63"/>
  <c r="I22" i="63"/>
  <c r="M32" i="63"/>
  <c r="L32" i="63"/>
  <c r="L35" i="63"/>
  <c r="M35" i="63"/>
  <c r="O41" i="63"/>
  <c r="N39" i="63"/>
  <c r="O39" i="63" s="1"/>
  <c r="N53" i="63"/>
  <c r="O53" i="63" s="1"/>
  <c r="P53" i="63"/>
  <c r="Q53" i="63" s="1"/>
  <c r="K53" i="63"/>
  <c r="R53" i="63"/>
  <c r="P37" i="63"/>
  <c r="Q37" i="63" s="1"/>
  <c r="R37" i="63"/>
  <c r="K37" i="63"/>
  <c r="N37" i="63"/>
  <c r="O37" i="63" s="1"/>
  <c r="M48" i="63"/>
  <c r="L48" i="63"/>
  <c r="I27" i="63"/>
  <c r="Q41" i="63"/>
  <c r="Q39" i="63" s="1"/>
  <c r="P39" i="63"/>
  <c r="I44" i="63"/>
  <c r="L50" i="63"/>
  <c r="M50" i="63"/>
  <c r="L20" i="63"/>
  <c r="M20" i="63"/>
  <c r="Q20" i="63" s="1"/>
  <c r="N31" i="63"/>
  <c r="P31" i="63"/>
  <c r="K31" i="63"/>
  <c r="R31" i="63"/>
  <c r="L11" i="63"/>
  <c r="M11" i="63"/>
  <c r="N33" i="63"/>
  <c r="O33" i="63" s="1"/>
  <c r="R33" i="63"/>
  <c r="P33" i="63"/>
  <c r="Q33" i="63" s="1"/>
  <c r="K33" i="63"/>
  <c r="P45" i="63"/>
  <c r="N45" i="63"/>
  <c r="K45" i="63"/>
  <c r="M36" i="63"/>
  <c r="L36" i="63"/>
  <c r="M25" i="63"/>
  <c r="L25" i="63"/>
  <c r="M12" i="63"/>
  <c r="L12" i="63"/>
  <c r="M13" i="63"/>
  <c r="L13" i="63"/>
  <c r="R50" i="63"/>
  <c r="Q45" i="63"/>
  <c r="I18" i="63"/>
  <c r="L19" i="63"/>
  <c r="M19" i="63"/>
  <c r="Q41" i="62"/>
  <c r="Q39" i="62" s="1"/>
  <c r="R21" i="54"/>
  <c r="R50" i="62"/>
  <c r="R17" i="54"/>
  <c r="I9" i="61"/>
  <c r="M9" i="60"/>
  <c r="L9" i="60"/>
  <c r="I8" i="60"/>
  <c r="I61" i="60" s="1"/>
  <c r="R61" i="53"/>
  <c r="K9" i="54"/>
  <c r="N9" i="54"/>
  <c r="R9" i="54"/>
  <c r="R8" i="54" s="1"/>
  <c r="L8" i="54"/>
  <c r="K8" i="54" s="1"/>
  <c r="N8" i="53"/>
  <c r="O8" i="53" s="1"/>
  <c r="P9" i="54"/>
  <c r="P8" i="54" s="1"/>
  <c r="M8" i="54"/>
  <c r="M61" i="54" s="1"/>
  <c r="M35" i="62"/>
  <c r="L35" i="62"/>
  <c r="P33" i="61"/>
  <c r="Q33" i="61" s="1"/>
  <c r="K33" i="61"/>
  <c r="N33" i="61"/>
  <c r="O33" i="61" s="1"/>
  <c r="R33" i="61"/>
  <c r="M48" i="62"/>
  <c r="L48" i="62"/>
  <c r="K45" i="62"/>
  <c r="P45" i="62"/>
  <c r="N45" i="62"/>
  <c r="K12" i="61"/>
  <c r="P12" i="61"/>
  <c r="Q12" i="61" s="1"/>
  <c r="N12" i="61"/>
  <c r="O12" i="61" s="1"/>
  <c r="R12" i="61"/>
  <c r="L50" i="62"/>
  <c r="M50" i="62"/>
  <c r="I42" i="61"/>
  <c r="M36" i="62"/>
  <c r="L36" i="62"/>
  <c r="L20" i="62"/>
  <c r="M20" i="62"/>
  <c r="Q20" i="62" s="1"/>
  <c r="M12" i="62"/>
  <c r="L12" i="62"/>
  <c r="O41" i="62"/>
  <c r="N39" i="62"/>
  <c r="O39" i="62" s="1"/>
  <c r="L19" i="62"/>
  <c r="I18" i="62"/>
  <c r="M19" i="62"/>
  <c r="M32" i="62"/>
  <c r="L32" i="62"/>
  <c r="I27" i="62"/>
  <c r="L13" i="62"/>
  <c r="M13" i="62"/>
  <c r="K39" i="62"/>
  <c r="R39" i="62"/>
  <c r="M24" i="62"/>
  <c r="I22" i="62"/>
  <c r="L24" i="62"/>
  <c r="M25" i="62"/>
  <c r="L25" i="62"/>
  <c r="N33" i="62"/>
  <c r="O33" i="62" s="1"/>
  <c r="R33" i="62"/>
  <c r="P33" i="62"/>
  <c r="Q33" i="62" s="1"/>
  <c r="K33" i="62"/>
  <c r="I44" i="62"/>
  <c r="P37" i="62"/>
  <c r="Q37" i="62" s="1"/>
  <c r="K37" i="62"/>
  <c r="R37" i="62"/>
  <c r="N37" i="62"/>
  <c r="O37" i="62" s="1"/>
  <c r="U36" i="56"/>
  <c r="T33" i="56"/>
  <c r="T79" i="56" s="1"/>
  <c r="U79" i="56" s="1"/>
  <c r="M42" i="60"/>
  <c r="Q26" i="54"/>
  <c r="L24" i="61"/>
  <c r="M24" i="61"/>
  <c r="P61" i="53"/>
  <c r="Q61" i="53"/>
  <c r="Q11" i="60"/>
  <c r="P21" i="54"/>
  <c r="P24" i="60"/>
  <c r="Q24" i="60" s="1"/>
  <c r="R24" i="60"/>
  <c r="K24" i="60"/>
  <c r="N24" i="60"/>
  <c r="O24" i="60" s="1"/>
  <c r="I17" i="61"/>
  <c r="L18" i="61"/>
  <c r="M18" i="61"/>
  <c r="N37" i="61"/>
  <c r="O37" i="61" s="1"/>
  <c r="O39" i="61"/>
  <c r="P23" i="60"/>
  <c r="Q23" i="60" s="1"/>
  <c r="K23" i="60"/>
  <c r="N23" i="60"/>
  <c r="R23" i="60"/>
  <c r="L21" i="60"/>
  <c r="K21" i="60" s="1"/>
  <c r="M34" i="61"/>
  <c r="L34" i="61"/>
  <c r="K37" i="61"/>
  <c r="R37" i="61"/>
  <c r="N46" i="60"/>
  <c r="O46" i="60" s="1"/>
  <c r="R46" i="60"/>
  <c r="R43" i="60" s="1"/>
  <c r="P46" i="60"/>
  <c r="Q46" i="60" s="1"/>
  <c r="K46" i="60"/>
  <c r="L23" i="61"/>
  <c r="M23" i="61"/>
  <c r="I21" i="61"/>
  <c r="Q39" i="61"/>
  <c r="Q37" i="61" s="1"/>
  <c r="R31" i="61"/>
  <c r="P31" i="61"/>
  <c r="Q31" i="61" s="1"/>
  <c r="N31" i="61"/>
  <c r="O31" i="61" s="1"/>
  <c r="K31" i="61"/>
  <c r="Q17" i="54"/>
  <c r="M30" i="61"/>
  <c r="L30" i="61"/>
  <c r="I26" i="61"/>
  <c r="M17" i="60"/>
  <c r="Q18" i="60"/>
  <c r="Q17" i="60" s="1"/>
  <c r="P42" i="54"/>
  <c r="M46" i="61"/>
  <c r="L46" i="61"/>
  <c r="M21" i="60"/>
  <c r="L42" i="60"/>
  <c r="K17" i="54"/>
  <c r="O30" i="54"/>
  <c r="N26" i="54"/>
  <c r="O26" i="54" s="1"/>
  <c r="R42" i="54"/>
  <c r="R26" i="54" s="1"/>
  <c r="K42" i="54"/>
  <c r="P17" i="54"/>
  <c r="N42" i="54"/>
  <c r="O42" i="54" s="1"/>
  <c r="R35" i="61"/>
  <c r="P35" i="61"/>
  <c r="Q35" i="61" s="1"/>
  <c r="N35" i="61"/>
  <c r="O35" i="61" s="1"/>
  <c r="K35" i="61"/>
  <c r="O18" i="54"/>
  <c r="N17" i="54"/>
  <c r="O17" i="54" s="1"/>
  <c r="M26" i="60"/>
  <c r="Q43" i="60"/>
  <c r="L48" i="61"/>
  <c r="M48" i="61"/>
  <c r="R18" i="60"/>
  <c r="N18" i="60"/>
  <c r="L17" i="60"/>
  <c r="K18" i="60"/>
  <c r="P11" i="61"/>
  <c r="Q11" i="61" s="1"/>
  <c r="R11" i="61"/>
  <c r="N11" i="61"/>
  <c r="O11" i="61" s="1"/>
  <c r="K11" i="61"/>
  <c r="P43" i="61"/>
  <c r="K43" i="61"/>
  <c r="N43" i="61"/>
  <c r="R34" i="60"/>
  <c r="P34" i="60"/>
  <c r="Q34" i="60" s="1"/>
  <c r="K34" i="60"/>
  <c r="N34" i="60"/>
  <c r="O34" i="60" s="1"/>
  <c r="Q10" i="61"/>
  <c r="L19" i="61"/>
  <c r="M19" i="61"/>
  <c r="Q19" i="61" s="1"/>
  <c r="O43" i="60"/>
  <c r="P26" i="54"/>
  <c r="Q23" i="54"/>
  <c r="Q21" i="54" s="1"/>
  <c r="N30" i="60"/>
  <c r="P30" i="60"/>
  <c r="Q30" i="60" s="1"/>
  <c r="L26" i="60"/>
  <c r="K26" i="60" s="1"/>
  <c r="R30" i="60"/>
  <c r="K30" i="60"/>
  <c r="N48" i="60"/>
  <c r="P48" i="60"/>
  <c r="Q48" i="60" s="1"/>
  <c r="K48" i="60"/>
  <c r="R19" i="60"/>
  <c r="K19" i="60"/>
  <c r="N19" i="60"/>
  <c r="Q42" i="54"/>
  <c r="N21" i="54"/>
  <c r="O21" i="54" s="1"/>
  <c r="O23" i="54"/>
  <c r="N16" i="56"/>
  <c r="M13" i="56"/>
  <c r="M16" i="56" s="1"/>
  <c r="L44" i="64" l="1"/>
  <c r="M27" i="64"/>
  <c r="K24" i="64"/>
  <c r="R24" i="64"/>
  <c r="N24" i="64"/>
  <c r="L22" i="64"/>
  <c r="K22" i="64" s="1"/>
  <c r="P24" i="64"/>
  <c r="R12" i="64"/>
  <c r="N12" i="64"/>
  <c r="O12" i="64" s="1"/>
  <c r="P12" i="64"/>
  <c r="Q12" i="64" s="1"/>
  <c r="K12" i="64"/>
  <c r="K44" i="64"/>
  <c r="R44" i="64"/>
  <c r="N48" i="64"/>
  <c r="O48" i="64" s="1"/>
  <c r="R48" i="64"/>
  <c r="R45" i="64" s="1"/>
  <c r="K48" i="64"/>
  <c r="P48" i="64"/>
  <c r="Q48" i="64" s="1"/>
  <c r="K35" i="64"/>
  <c r="P35" i="64"/>
  <c r="Q35" i="64" s="1"/>
  <c r="R35" i="64"/>
  <c r="N35" i="64"/>
  <c r="O35" i="64" s="1"/>
  <c r="Q19" i="64"/>
  <c r="Q18" i="64" s="1"/>
  <c r="M18" i="64"/>
  <c r="O31" i="64"/>
  <c r="M22" i="64"/>
  <c r="K11" i="64"/>
  <c r="P11" i="64"/>
  <c r="Q11" i="64" s="1"/>
  <c r="R11" i="64"/>
  <c r="N11" i="64"/>
  <c r="O11" i="64" s="1"/>
  <c r="R36" i="64"/>
  <c r="P36" i="64"/>
  <c r="Q36" i="64" s="1"/>
  <c r="K36" i="64"/>
  <c r="N36" i="64"/>
  <c r="O36" i="64" s="1"/>
  <c r="K50" i="64"/>
  <c r="N50" i="64"/>
  <c r="N44" i="64" s="1"/>
  <c r="O44" i="64" s="1"/>
  <c r="P50" i="64"/>
  <c r="Q50" i="64" s="1"/>
  <c r="K32" i="64"/>
  <c r="P32" i="64"/>
  <c r="Q32" i="64" s="1"/>
  <c r="R32" i="64"/>
  <c r="N32" i="64"/>
  <c r="O32" i="64" s="1"/>
  <c r="N19" i="64"/>
  <c r="L18" i="64"/>
  <c r="K18" i="64" s="1"/>
  <c r="R19" i="64"/>
  <c r="R18" i="64" s="1"/>
  <c r="K19" i="64"/>
  <c r="Q31" i="64"/>
  <c r="K25" i="64"/>
  <c r="P25" i="64"/>
  <c r="Q25" i="64" s="1"/>
  <c r="N25" i="64"/>
  <c r="O25" i="64" s="1"/>
  <c r="R25" i="64"/>
  <c r="K13" i="64"/>
  <c r="P13" i="64"/>
  <c r="Q13" i="64" s="1"/>
  <c r="N13" i="64"/>
  <c r="O13" i="64" s="1"/>
  <c r="R13" i="64"/>
  <c r="N20" i="64"/>
  <c r="K20" i="64"/>
  <c r="R20" i="64"/>
  <c r="L27" i="63"/>
  <c r="K27" i="63" s="1"/>
  <c r="L44" i="63"/>
  <c r="K44" i="63" s="1"/>
  <c r="M44" i="63"/>
  <c r="M27" i="63"/>
  <c r="P13" i="63"/>
  <c r="Q13" i="63" s="1"/>
  <c r="R13" i="63"/>
  <c r="N13" i="63"/>
  <c r="O13" i="63" s="1"/>
  <c r="K13" i="63"/>
  <c r="P25" i="63"/>
  <c r="Q25" i="63" s="1"/>
  <c r="N25" i="63"/>
  <c r="O25" i="63" s="1"/>
  <c r="K25" i="63"/>
  <c r="R25" i="63"/>
  <c r="R11" i="63"/>
  <c r="Q31" i="63"/>
  <c r="N20" i="63"/>
  <c r="K20" i="63"/>
  <c r="R20" i="63"/>
  <c r="N11" i="63"/>
  <c r="O11" i="63" s="1"/>
  <c r="K11" i="63"/>
  <c r="P11" i="63"/>
  <c r="Q11" i="63" s="1"/>
  <c r="P35" i="63"/>
  <c r="Q35" i="63" s="1"/>
  <c r="K35" i="63"/>
  <c r="N35" i="63"/>
  <c r="O35" i="63" s="1"/>
  <c r="R35" i="63"/>
  <c r="P24" i="63"/>
  <c r="P22" i="63" s="1"/>
  <c r="R24" i="63"/>
  <c r="N24" i="63"/>
  <c r="K24" i="63"/>
  <c r="L22" i="63"/>
  <c r="K22" i="63" s="1"/>
  <c r="P12" i="63"/>
  <c r="Q12" i="63" s="1"/>
  <c r="K12" i="63"/>
  <c r="N12" i="63"/>
  <c r="O12" i="63" s="1"/>
  <c r="R12" i="63"/>
  <c r="P36" i="63"/>
  <c r="Q36" i="63" s="1"/>
  <c r="N36" i="63"/>
  <c r="O36" i="63" s="1"/>
  <c r="R36" i="63"/>
  <c r="K36" i="63"/>
  <c r="O45" i="63"/>
  <c r="O31" i="63"/>
  <c r="P50" i="63"/>
  <c r="Q50" i="63" s="1"/>
  <c r="N50" i="63"/>
  <c r="K50" i="63"/>
  <c r="R32" i="63"/>
  <c r="K32" i="63"/>
  <c r="P32" i="63"/>
  <c r="Q32" i="63" s="1"/>
  <c r="N32" i="63"/>
  <c r="O32" i="63" s="1"/>
  <c r="M22" i="63"/>
  <c r="K48" i="63"/>
  <c r="R48" i="63"/>
  <c r="R45" i="63" s="1"/>
  <c r="N48" i="63"/>
  <c r="O48" i="63" s="1"/>
  <c r="P48" i="63"/>
  <c r="Q48" i="63" s="1"/>
  <c r="N19" i="63"/>
  <c r="K19" i="63"/>
  <c r="L18" i="63"/>
  <c r="R19" i="63"/>
  <c r="M18" i="63"/>
  <c r="Q19" i="63"/>
  <c r="Q18" i="63" s="1"/>
  <c r="R61" i="54"/>
  <c r="M44" i="62"/>
  <c r="Q26" i="60"/>
  <c r="N61" i="53"/>
  <c r="O61" i="53" s="1"/>
  <c r="Q9" i="54"/>
  <c r="Q8" i="54" s="1"/>
  <c r="Q61" i="54" s="1"/>
  <c r="L44" i="62"/>
  <c r="R44" i="62" s="1"/>
  <c r="K9" i="60"/>
  <c r="N9" i="60"/>
  <c r="R9" i="60"/>
  <c r="R8" i="60" s="1"/>
  <c r="L8" i="60"/>
  <c r="K8" i="60" s="1"/>
  <c r="L61" i="54"/>
  <c r="K61" i="54" s="1"/>
  <c r="O9" i="54"/>
  <c r="N8" i="54"/>
  <c r="O8" i="54" s="1"/>
  <c r="P9" i="60"/>
  <c r="P8" i="60" s="1"/>
  <c r="M8" i="60"/>
  <c r="M61" i="60" s="1"/>
  <c r="I9" i="62"/>
  <c r="I9" i="63" s="1"/>
  <c r="I9" i="64" s="1"/>
  <c r="L9" i="61"/>
  <c r="M9" i="61"/>
  <c r="I8" i="61"/>
  <c r="R21" i="60"/>
  <c r="R35" i="62"/>
  <c r="P35" i="62"/>
  <c r="Q35" i="62" s="1"/>
  <c r="K35" i="62"/>
  <c r="N35" i="62"/>
  <c r="O35" i="62" s="1"/>
  <c r="M22" i="62"/>
  <c r="M27" i="62"/>
  <c r="Q45" i="62"/>
  <c r="P61" i="54"/>
  <c r="N25" i="62"/>
  <c r="O25" i="62" s="1"/>
  <c r="R25" i="62"/>
  <c r="P25" i="62"/>
  <c r="Q25" i="62" s="1"/>
  <c r="K25" i="62"/>
  <c r="Q19" i="62"/>
  <c r="Q18" i="62" s="1"/>
  <c r="M18" i="62"/>
  <c r="K20" i="62"/>
  <c r="R20" i="62"/>
  <c r="N20" i="62"/>
  <c r="N48" i="62"/>
  <c r="O48" i="62" s="1"/>
  <c r="R48" i="62"/>
  <c r="R45" i="62" s="1"/>
  <c r="P48" i="62"/>
  <c r="Q48" i="62" s="1"/>
  <c r="K48" i="62"/>
  <c r="P13" i="62"/>
  <c r="Q13" i="62" s="1"/>
  <c r="K13" i="62"/>
  <c r="N13" i="62"/>
  <c r="O13" i="62" s="1"/>
  <c r="R13" i="62"/>
  <c r="P12" i="62"/>
  <c r="R12" i="62"/>
  <c r="N12" i="62"/>
  <c r="K12" i="62"/>
  <c r="R36" i="62"/>
  <c r="N36" i="62"/>
  <c r="O36" i="62" s="1"/>
  <c r="K36" i="62"/>
  <c r="P36" i="62"/>
  <c r="Q36" i="62" s="1"/>
  <c r="P50" i="62"/>
  <c r="Q50" i="62" s="1"/>
  <c r="N50" i="62"/>
  <c r="K50" i="62"/>
  <c r="R24" i="62"/>
  <c r="K24" i="62"/>
  <c r="P24" i="62"/>
  <c r="N24" i="62"/>
  <c r="L22" i="62"/>
  <c r="K22" i="62" s="1"/>
  <c r="R32" i="62"/>
  <c r="K32" i="62"/>
  <c r="P32" i="62"/>
  <c r="N32" i="62"/>
  <c r="L27" i="62"/>
  <c r="K27" i="62" s="1"/>
  <c r="K19" i="62"/>
  <c r="N19" i="62"/>
  <c r="R19" i="62"/>
  <c r="L18" i="62"/>
  <c r="K18" i="62" s="1"/>
  <c r="O45" i="62"/>
  <c r="Q21" i="60"/>
  <c r="M42" i="61"/>
  <c r="K24" i="61"/>
  <c r="P24" i="61"/>
  <c r="Q24" i="61" s="1"/>
  <c r="R24" i="61"/>
  <c r="N24" i="61"/>
  <c r="O24" i="61" s="1"/>
  <c r="N42" i="60"/>
  <c r="O42" i="60" s="1"/>
  <c r="P42" i="60"/>
  <c r="P21" i="60"/>
  <c r="O30" i="60"/>
  <c r="N26" i="60"/>
  <c r="O26" i="60" s="1"/>
  <c r="N19" i="61"/>
  <c r="R19" i="61"/>
  <c r="K19" i="61"/>
  <c r="N48" i="61"/>
  <c r="K48" i="61"/>
  <c r="P48" i="61"/>
  <c r="Q48" i="61" s="1"/>
  <c r="N61" i="54"/>
  <c r="O61" i="54" s="1"/>
  <c r="N17" i="60"/>
  <c r="O18" i="60"/>
  <c r="Q42" i="60"/>
  <c r="Q43" i="61"/>
  <c r="N30" i="61"/>
  <c r="P30" i="61"/>
  <c r="R30" i="61"/>
  <c r="K30" i="61"/>
  <c r="L26" i="61"/>
  <c r="K26" i="61" s="1"/>
  <c r="M21" i="61"/>
  <c r="N34" i="61"/>
  <c r="O34" i="61" s="1"/>
  <c r="P34" i="61"/>
  <c r="Q34" i="61" s="1"/>
  <c r="K34" i="61"/>
  <c r="R34" i="61"/>
  <c r="Q18" i="61"/>
  <c r="Q17" i="61" s="1"/>
  <c r="M17" i="61"/>
  <c r="L42" i="61"/>
  <c r="R17" i="60"/>
  <c r="R46" i="61"/>
  <c r="R43" i="61" s="1"/>
  <c r="P46" i="61"/>
  <c r="Q46" i="61" s="1"/>
  <c r="K46" i="61"/>
  <c r="N46" i="61"/>
  <c r="O46" i="61" s="1"/>
  <c r="M26" i="61"/>
  <c r="P23" i="61"/>
  <c r="N23" i="61"/>
  <c r="K23" i="61"/>
  <c r="R23" i="61"/>
  <c r="L21" i="61"/>
  <c r="K21" i="61" s="1"/>
  <c r="O23" i="60"/>
  <c r="N21" i="60"/>
  <c r="O21" i="60" s="1"/>
  <c r="N18" i="61"/>
  <c r="L17" i="61"/>
  <c r="R18" i="61"/>
  <c r="K18" i="61"/>
  <c r="K17" i="60"/>
  <c r="P26" i="60"/>
  <c r="O43" i="61"/>
  <c r="R42" i="60"/>
  <c r="R26" i="60" s="1"/>
  <c r="K42" i="60"/>
  <c r="I61" i="61"/>
  <c r="O13" i="56"/>
  <c r="O16" i="56" s="1"/>
  <c r="Q44" i="64" l="1"/>
  <c r="N27" i="64"/>
  <c r="O27" i="64" s="1"/>
  <c r="P44" i="64"/>
  <c r="R27" i="64"/>
  <c r="O24" i="64"/>
  <c r="N22" i="64"/>
  <c r="O22" i="64" s="1"/>
  <c r="P27" i="64"/>
  <c r="R22" i="64"/>
  <c r="Q27" i="64"/>
  <c r="O19" i="64"/>
  <c r="N18" i="64"/>
  <c r="O18" i="64" s="1"/>
  <c r="Q24" i="64"/>
  <c r="Q22" i="64" s="1"/>
  <c r="P22" i="64"/>
  <c r="I8" i="64"/>
  <c r="I63" i="64" s="1"/>
  <c r="L9" i="64"/>
  <c r="M9" i="64"/>
  <c r="Q44" i="63"/>
  <c r="R44" i="63"/>
  <c r="R27" i="63" s="1"/>
  <c r="P44" i="63"/>
  <c r="R18" i="63"/>
  <c r="P27" i="63"/>
  <c r="R22" i="63"/>
  <c r="N44" i="63"/>
  <c r="O44" i="63" s="1"/>
  <c r="Q27" i="63"/>
  <c r="M9" i="63"/>
  <c r="L9" i="63"/>
  <c r="I8" i="63"/>
  <c r="I63" i="63" s="1"/>
  <c r="Q24" i="63"/>
  <c r="Q22" i="63" s="1"/>
  <c r="N27" i="63"/>
  <c r="O27" i="63" s="1"/>
  <c r="O24" i="63"/>
  <c r="N22" i="63"/>
  <c r="O22" i="63" s="1"/>
  <c r="K18" i="63"/>
  <c r="N18" i="63"/>
  <c r="O19" i="63"/>
  <c r="R22" i="62"/>
  <c r="R17" i="61"/>
  <c r="P21" i="61"/>
  <c r="L61" i="60"/>
  <c r="K61" i="60" s="1"/>
  <c r="Q9" i="60"/>
  <c r="Q8" i="60" s="1"/>
  <c r="Q61" i="60" s="1"/>
  <c r="R27" i="62"/>
  <c r="R18" i="62"/>
  <c r="K44" i="62"/>
  <c r="N44" i="62"/>
  <c r="O44" i="62" s="1"/>
  <c r="P9" i="61"/>
  <c r="M8" i="61"/>
  <c r="M61" i="61" s="1"/>
  <c r="R9" i="61"/>
  <c r="R8" i="61" s="1"/>
  <c r="K9" i="61"/>
  <c r="N9" i="61"/>
  <c r="L8" i="61"/>
  <c r="K8" i="61" s="1"/>
  <c r="O9" i="60"/>
  <c r="N8" i="60"/>
  <c r="O8" i="60" s="1"/>
  <c r="L9" i="62"/>
  <c r="M9" i="62"/>
  <c r="I8" i="62"/>
  <c r="I63" i="62" s="1"/>
  <c r="P61" i="60"/>
  <c r="P26" i="61"/>
  <c r="P44" i="62"/>
  <c r="O32" i="62"/>
  <c r="N27" i="62"/>
  <c r="O27" i="62" s="1"/>
  <c r="Q12" i="62"/>
  <c r="Q44" i="62"/>
  <c r="O19" i="62"/>
  <c r="N18" i="62"/>
  <c r="O18" i="62" s="1"/>
  <c r="Q32" i="62"/>
  <c r="Q27" i="62" s="1"/>
  <c r="P27" i="62"/>
  <c r="O24" i="62"/>
  <c r="N22" i="62"/>
  <c r="O22" i="62" s="1"/>
  <c r="Q24" i="62"/>
  <c r="Q22" i="62" s="1"/>
  <c r="P22" i="62"/>
  <c r="O12" i="62"/>
  <c r="Q23" i="61"/>
  <c r="Q21" i="61" s="1"/>
  <c r="N42" i="61"/>
  <c r="O42" i="61" s="1"/>
  <c r="R21" i="61"/>
  <c r="P42" i="61"/>
  <c r="Q30" i="61"/>
  <c r="Q26" i="61" s="1"/>
  <c r="O30" i="61"/>
  <c r="N26" i="61"/>
  <c r="O26" i="61" s="1"/>
  <c r="O17" i="60"/>
  <c r="N21" i="61"/>
  <c r="O21" i="61" s="1"/>
  <c r="O23" i="61"/>
  <c r="Q42" i="61"/>
  <c r="R42" i="61"/>
  <c r="R26" i="61" s="1"/>
  <c r="K42" i="61"/>
  <c r="K17" i="61"/>
  <c r="L61" i="61"/>
  <c r="K61" i="61" s="1"/>
  <c r="N17" i="61"/>
  <c r="O17" i="61" s="1"/>
  <c r="O18" i="61"/>
  <c r="R61" i="60"/>
  <c r="P13" i="56"/>
  <c r="P16" i="56" s="1"/>
  <c r="U11" i="56"/>
  <c r="U12" i="56"/>
  <c r="Q13" i="56"/>
  <c r="Q16" i="56" s="1"/>
  <c r="P9" i="64" l="1"/>
  <c r="P8" i="64" s="1"/>
  <c r="P63" i="64" s="1"/>
  <c r="M8" i="64"/>
  <c r="M63" i="64" s="1"/>
  <c r="L8" i="64"/>
  <c r="K9" i="64"/>
  <c r="N9" i="64"/>
  <c r="R9" i="64"/>
  <c r="R8" i="64" s="1"/>
  <c r="R9" i="63"/>
  <c r="K9" i="63"/>
  <c r="N9" i="63"/>
  <c r="L8" i="63"/>
  <c r="M8" i="63"/>
  <c r="M63" i="63" s="1"/>
  <c r="P9" i="63"/>
  <c r="P8" i="63" s="1"/>
  <c r="P63" i="63" s="1"/>
  <c r="O18" i="63"/>
  <c r="N61" i="60"/>
  <c r="O61" i="60" s="1"/>
  <c r="P9" i="62"/>
  <c r="P8" i="62" s="1"/>
  <c r="P63" i="62" s="1"/>
  <c r="M8" i="62"/>
  <c r="M63" i="62" s="1"/>
  <c r="N9" i="62"/>
  <c r="K9" i="62"/>
  <c r="R9" i="62"/>
  <c r="L8" i="62"/>
  <c r="O9" i="61"/>
  <c r="N8" i="61"/>
  <c r="O8" i="61" s="1"/>
  <c r="Q9" i="61"/>
  <c r="Q8" i="61" s="1"/>
  <c r="Q61" i="61" s="1"/>
  <c r="P8" i="61"/>
  <c r="P61" i="61" s="1"/>
  <c r="R61" i="61"/>
  <c r="U9" i="56"/>
  <c r="S13" i="56"/>
  <c r="S16" i="56" s="1"/>
  <c r="R63" i="64" l="1"/>
  <c r="N8" i="64"/>
  <c r="O9" i="64"/>
  <c r="Q9" i="64"/>
  <c r="Q8" i="64" s="1"/>
  <c r="Q63" i="64" s="1"/>
  <c r="L63" i="64"/>
  <c r="K63" i="64" s="1"/>
  <c r="K8" i="64"/>
  <c r="Q9" i="63"/>
  <c r="Q8" i="63" s="1"/>
  <c r="Q63" i="63" s="1"/>
  <c r="R8" i="63"/>
  <c r="R63" i="63"/>
  <c r="K8" i="63"/>
  <c r="L63" i="63"/>
  <c r="K63" i="63" s="1"/>
  <c r="O9" i="63"/>
  <c r="N8" i="63"/>
  <c r="N61" i="61"/>
  <c r="O61" i="61" s="1"/>
  <c r="O9" i="62"/>
  <c r="N8" i="62"/>
  <c r="R8" i="62"/>
  <c r="R63" i="62"/>
  <c r="L63" i="62"/>
  <c r="K63" i="62" s="1"/>
  <c r="K8" i="62"/>
  <c r="Q9" i="62"/>
  <c r="Q8" i="62" s="1"/>
  <c r="Q63" i="62" s="1"/>
  <c r="R13" i="56"/>
  <c r="R16" i="56" s="1"/>
  <c r="T16" i="56" s="1"/>
  <c r="U10" i="56"/>
  <c r="N63" i="64" l="1"/>
  <c r="O63" i="64" s="1"/>
  <c r="O8" i="64"/>
  <c r="O8" i="63"/>
  <c r="N63" i="63"/>
  <c r="O63" i="63" s="1"/>
  <c r="N63" i="62"/>
  <c r="O63" i="62" s="1"/>
  <c r="O8" i="62"/>
  <c r="T13" i="56"/>
</calcChain>
</file>

<file path=xl/sharedStrings.xml><?xml version="1.0" encoding="utf-8"?>
<sst xmlns="http://schemas.openxmlformats.org/spreadsheetml/2006/main" count="1876" uniqueCount="332">
  <si>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</si>
  <si>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</si>
  <si>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</si>
  <si>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</si>
  <si>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</si>
  <si>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</si>
  <si>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</si>
  <si>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</si>
  <si>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</si>
  <si>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</si>
  <si>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</si>
  <si>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</si>
  <si>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</si>
  <si>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</si>
  <si>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</si>
  <si>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</si>
  <si>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</si>
  <si>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</si>
  <si>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</si>
  <si>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</si>
  <si>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</si>
  <si>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</si>
  <si>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</si>
  <si>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</si>
  <si>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</si>
  <si>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</si>
  <si>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</si>
  <si>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</si>
  <si>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</si>
  <si>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</si>
  <si>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</si>
  <si>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</si>
  <si>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</si>
  <si>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</si>
  <si>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</si>
  <si>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</si>
  <si>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</si>
  <si>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</si>
  <si>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</si>
  <si>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</si>
  <si>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</si>
  <si>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</si>
  <si>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</si>
  <si>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</si>
  <si>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</si>
  <si>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</si>
  <si>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</si>
  <si>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</si>
  <si>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</si>
  <si>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</si>
  <si>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</si>
  <si>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</si>
  <si>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</si>
  <si>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</si>
  <si>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</si>
  <si>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</si>
  <si>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</si>
  <si>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</si>
  <si>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</si>
  <si>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</si>
  <si>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</si>
  <si>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</si>
  <si>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</si>
  <si>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</si>
  <si>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</si>
  <si>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</si>
  <si>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</si>
  <si>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</si>
  <si>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</si>
  <si>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</si>
  <si>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</si>
  <si>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</si>
  <si>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</si>
  <si>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</si>
  <si>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</si>
  <si>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</si>
  <si>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</si>
  <si>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</si>
  <si>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</si>
  <si>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</si>
  <si>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</si>
  <si>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</si>
  <si>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</si>
  <si>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</si>
  <si>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</si>
  <si>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</si>
  <si>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</si>
  <si>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</si>
  <si>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</si>
  <si>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</si>
  <si>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</si>
  <si>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</si>
  <si>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</si>
  <si>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</si>
  <si>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</si>
  <si>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</si>
  <si>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</si>
  <si>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</si>
  <si>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</si>
  <si>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</si>
  <si>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</si>
  <si>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</si>
  <si>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</si>
  <si>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</si>
  <si>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</si>
  <si>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</si>
  <si>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</si>
  <si>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</si>
  <si>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</si>
  <si>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</si>
  <si>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</si>
  <si>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</si>
  <si>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</si>
  <si>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</si>
  <si>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</si>
  <si>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</si>
  <si>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</si>
  <si>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</si>
  <si>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</si>
  <si>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</si>
  <si>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</si>
  <si>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</si>
  <si>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</si>
  <si>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</si>
  <si>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</si>
  <si>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</si>
  <si>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</si>
  <si>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</si>
  <si>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</si>
  <si>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</si>
  <si>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</si>
  <si>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</si>
  <si>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</si>
  <si>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</si>
  <si>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</si>
  <si>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</si>
  <si>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</si>
  <si>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</si>
  <si>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</si>
  <si>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</si>
  <si>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</si>
  <si>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</si>
  <si>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</si>
  <si>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</si>
  <si>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</si>
  <si>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</si>
  <si>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</si>
  <si>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</si>
  <si>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</si>
  <si>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</si>
  <si>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</si>
  <si>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</si>
  <si>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</si>
  <si>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</si>
  <si>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</si>
  <si>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</si>
  <si>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</si>
  <si>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APROPIACIÒN</t>
  </si>
  <si>
    <t>ADICION</t>
  </si>
  <si>
    <t>EJECUCION</t>
  </si>
  <si>
    <t>%</t>
  </si>
  <si>
    <t>SALDO</t>
  </si>
  <si>
    <t xml:space="preserve">MESES  ANTER. </t>
  </si>
  <si>
    <t>MES</t>
  </si>
  <si>
    <t>DISPONIBLE</t>
  </si>
  <si>
    <t>TOTALES</t>
  </si>
  <si>
    <t>RESPONSABLE</t>
  </si>
  <si>
    <t>NOHEMILCE QUINTERO CETINA - DIRECTORA ADMINISTRATIVA Y FINANCIERA</t>
  </si>
  <si>
    <t>PROGRAMA ANUAL MENSUALIZADO DE CAJA -INGRESOS AÑO 2020</t>
  </si>
  <si>
    <t xml:space="preserve">                                           PROGRAMA ANUAL MENSUALIZADO DE CAJA -EGRESOS AÑO 2020</t>
  </si>
  <si>
    <t>JAIME LONDOÑO FLOREZ</t>
  </si>
  <si>
    <t xml:space="preserve">TOTAL 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</si>
  <si>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</si>
  <si>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</si>
  <si>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</si>
  <si>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</si>
  <si>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</si>
  <si>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</si>
  <si>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Fecha de Aprobación: 29 de diciembre de 2019</t>
  </si>
  <si>
    <t>PROGRAMA ANUAL MENSUALIZADO DE CAJA -INGRESOS AÑO 2021</t>
  </si>
  <si>
    <t>JAIMELONDOÑO FLOREZ</t>
  </si>
  <si>
    <t>VIATICOS</t>
  </si>
  <si>
    <t>TRANSPORTE</t>
  </si>
  <si>
    <t>EDGAR PNZON CORZO</t>
  </si>
  <si>
    <t>DIANA MARCELA VELEZ LONDOÑO</t>
  </si>
  <si>
    <t>YULY ANDREA SERNA DIEZ</t>
  </si>
  <si>
    <t>YIRLEY OTALORA GALLO</t>
  </si>
  <si>
    <t>ENERGUAVIIARE</t>
  </si>
  <si>
    <t>CSINET SAS</t>
  </si>
  <si>
    <t xml:space="preserve">JOSE VILLALOBOS CONTRATO 2  </t>
  </si>
  <si>
    <t>ALEJANDRA MAHECHA SARASTY C 01</t>
  </si>
  <si>
    <t>APERTURA CAJA MENOR</t>
  </si>
  <si>
    <t>PRORROGA SEGUROS</t>
  </si>
  <si>
    <t>NOMINA ENERO 2021</t>
  </si>
  <si>
    <t>REALIZADOS</t>
  </si>
  <si>
    <t>COMPROMISOS</t>
  </si>
  <si>
    <t>TOTAL</t>
  </si>
  <si>
    <t>EJECUCIÓN</t>
  </si>
  <si>
    <t>CONTRA</t>
  </si>
  <si>
    <t>REDUCCION</t>
  </si>
  <si>
    <t>APROPIACIÓN</t>
  </si>
  <si>
    <t>CODIG</t>
  </si>
  <si>
    <t>ENERO DE 2021</t>
  </si>
  <si>
    <t>EMPOAGUAS</t>
  </si>
  <si>
    <t xml:space="preserve">     </t>
  </si>
  <si>
    <t>AMBIENTAR</t>
  </si>
  <si>
    <t>PAULA TATIANA COLMENARES A C 05-2021</t>
  </si>
  <si>
    <t>COMBUSTIBLE</t>
  </si>
  <si>
    <t>TRASLADO RES 19-2021</t>
  </si>
  <si>
    <t>CREDITO RES 19-2021</t>
  </si>
  <si>
    <t>2021010103</t>
  </si>
  <si>
    <t>2021010104</t>
  </si>
  <si>
    <t>2021010105</t>
  </si>
  <si>
    <t>2021010106</t>
  </si>
  <si>
    <t>2021010107</t>
  </si>
  <si>
    <t>2021010108</t>
  </si>
  <si>
    <t>2021010109</t>
  </si>
  <si>
    <t>2021010201</t>
  </si>
  <si>
    <t>2021010202</t>
  </si>
  <si>
    <t>2021010302</t>
  </si>
  <si>
    <t>2021010301</t>
  </si>
  <si>
    <t>2021010304</t>
  </si>
  <si>
    <t>2021010305</t>
  </si>
  <si>
    <t>2021010401</t>
  </si>
  <si>
    <t>2021010403</t>
  </si>
  <si>
    <t>2021010404</t>
  </si>
  <si>
    <t>2021010405</t>
  </si>
  <si>
    <t>2021010406</t>
  </si>
  <si>
    <t>2021010407</t>
  </si>
  <si>
    <t>2021010408</t>
  </si>
  <si>
    <t>2021010409</t>
  </si>
  <si>
    <t>2021020101</t>
  </si>
  <si>
    <t>2021020102</t>
  </si>
  <si>
    <t>2021020104</t>
  </si>
  <si>
    <t>2021020201</t>
  </si>
  <si>
    <t>20210202</t>
  </si>
  <si>
    <t>2021020202</t>
  </si>
  <si>
    <t>2021020203</t>
  </si>
  <si>
    <t>2021020204</t>
  </si>
  <si>
    <t>2021020205</t>
  </si>
  <si>
    <t>2021020206</t>
  </si>
  <si>
    <t>2021020207</t>
  </si>
  <si>
    <t>2021020209</t>
  </si>
  <si>
    <t>2021020210</t>
  </si>
  <si>
    <t>2021020211</t>
  </si>
  <si>
    <t>2021020212</t>
  </si>
  <si>
    <t>2021020215</t>
  </si>
  <si>
    <t>COLOMBIA TELECOMUNICACIONES</t>
  </si>
  <si>
    <t>FEBRERO DE 2021</t>
  </si>
  <si>
    <t>NOMINA FEBRERO 2021</t>
  </si>
  <si>
    <t>POLIZAS C-007</t>
  </si>
  <si>
    <t>PAGO CESANTIAS VIG 2020</t>
  </si>
  <si>
    <t>TRASLADO RES 29-2021</t>
  </si>
  <si>
    <t>TRASLADO RESO 29-2021</t>
  </si>
  <si>
    <t xml:space="preserve">REEMBOLSO CAJA MENOR </t>
  </si>
  <si>
    <t xml:space="preserve">REEMBOLSO DE CAJA MENOR </t>
  </si>
  <si>
    <t>INFORME AMBIENTAL VIG. 2020</t>
  </si>
  <si>
    <t>v congreso nacional de contralores</t>
  </si>
  <si>
    <t xml:space="preserve">TRANSPORTE </t>
  </si>
  <si>
    <t>REEEMBOLSO COMISIÓN #12</t>
  </si>
  <si>
    <t>INFORME FINANZAS VIG.2020</t>
  </si>
  <si>
    <t xml:space="preserve">AMBIENTAR </t>
  </si>
  <si>
    <t>VIGENCIA 2021</t>
  </si>
  <si>
    <t>OSCAR FERNANDO RODRÍGUEZ BALAGUERA</t>
  </si>
  <si>
    <t xml:space="preserve">CINDY MARCELA MORALES </t>
  </si>
  <si>
    <t xml:space="preserve">JINETH MORENO PERDOMO </t>
  </si>
  <si>
    <t>JINETH MORENO P. CONTRATO 10</t>
  </si>
  <si>
    <t>NOMINA MARZO 2021</t>
  </si>
  <si>
    <t xml:space="preserve">REEMBOLSO 1 CAJA MENOR </t>
  </si>
  <si>
    <t xml:space="preserve">REEMBOLSO 2 CAJA MENOR </t>
  </si>
  <si>
    <t>MARZO DE 2021</t>
  </si>
  <si>
    <t>OSCAR FERNANDO RODRIGUEZ BALAGUERA - DIRECTOR ADMINISTRATIVO Y FINANCIERO</t>
  </si>
  <si>
    <t>TRASLADO RES 44-2021</t>
  </si>
  <si>
    <t xml:space="preserve">MC DOTACIÓN UNIFORMES </t>
  </si>
  <si>
    <t>LIQUI. PREST. ANDREA CANCINO</t>
  </si>
  <si>
    <t>LIQUI. PREST. ANDREA CANCINO VAC</t>
  </si>
  <si>
    <t>LIQUI. PREST. ANDREA CANCINO BER</t>
  </si>
  <si>
    <t xml:space="preserve">LIQUI. PREST. CINDY MORALES </t>
  </si>
  <si>
    <t>LIQUI. PREST. CINDY MORALES VAC</t>
  </si>
  <si>
    <t>LIQUI. PREST. CINDY MORALES BER</t>
  </si>
  <si>
    <t>LIQUI. PREST. CINDY MORALES</t>
  </si>
  <si>
    <t>NOMINA ABRIL 2021</t>
  </si>
  <si>
    <t>JOHANA ESPEJO - C 012-2021</t>
  </si>
  <si>
    <t xml:space="preserve">REEMBOLSO 3 CAJA MENOR </t>
  </si>
  <si>
    <t>AJUSTE NÓMINA ENERO 2021</t>
  </si>
  <si>
    <t>AJUSTE INCAPACIDADES YULY - EDWIN MARZO2021</t>
  </si>
  <si>
    <t>MARIA ALEJANDRA GARCÍA - C 03</t>
  </si>
  <si>
    <t>MARIA ALEJANDRA GARCÍA - C 011-2021</t>
  </si>
  <si>
    <t>EDWIN</t>
  </si>
  <si>
    <t>YULY</t>
  </si>
  <si>
    <t>ABRIL DE 2021</t>
  </si>
  <si>
    <t xml:space="preserve">OSCAR FERNANDO RODRÍGUEZ BALAGUERA </t>
  </si>
  <si>
    <t xml:space="preserve">PRIMA DE NAVIDAD </t>
  </si>
  <si>
    <t>JINETH MORENO P. CONTRATO 14</t>
  </si>
  <si>
    <t xml:space="preserve">DECRETO N° 114 DEL 2021 - SH GOBERNACIÓN </t>
  </si>
  <si>
    <t>45 - CESANTIAS</t>
  </si>
  <si>
    <t>45 - SUELDO PERSONAL NOMINA</t>
  </si>
  <si>
    <t>LUÍS HERNÁN DÍAZ. CONTRATO 015</t>
  </si>
  <si>
    <t xml:space="preserve">ADICIÓN JOSE VILLALOBOS CONTRATO 2  </t>
  </si>
  <si>
    <t>NOMINA MAYO 2021</t>
  </si>
  <si>
    <t xml:space="preserve">SANDRA MILENA VASQUEZ </t>
  </si>
  <si>
    <t xml:space="preserve">EDILBERTO GIRALDO JIMÉNEZ </t>
  </si>
  <si>
    <t>EDILBERTO GIRALDO JIMÉNEZ VER</t>
  </si>
  <si>
    <t>EDILBERTO GIRALDO JIMÉNEZ VAC</t>
  </si>
  <si>
    <t xml:space="preserve">REEMBOLSO 4 CAJA MENOR </t>
  </si>
  <si>
    <t>MAYO DE 2021</t>
  </si>
  <si>
    <t>45 SUELDO PERSONAL NOMINA</t>
  </si>
  <si>
    <t>EDGAR PINZON CORZO</t>
  </si>
  <si>
    <t>EDILBERTO GIRALDO JIMENEZ</t>
  </si>
  <si>
    <t>VI Congreso Nacional de Contralores</t>
  </si>
  <si>
    <t xml:space="preserve">AJUSTE NÓMINA MARZO 2021 - YULY SERNA </t>
  </si>
  <si>
    <t>INCAP. LIQUID.</t>
  </si>
  <si>
    <t>AJUSTE PLANILLA MARZO 2021 - YULY SERNA</t>
  </si>
  <si>
    <t>NOMINA JUNIO 2021</t>
  </si>
  <si>
    <t xml:space="preserve">REEMBOLSO 5 CAJA MENOR </t>
  </si>
  <si>
    <t>JUNIO DE 2021</t>
  </si>
  <si>
    <t xml:space="preserve">INCAP. APROB. EPS </t>
  </si>
  <si>
    <t>AJUSTE PROCESO DE MÍNIMA CUANTÍA - RP 137</t>
  </si>
  <si>
    <t>INGRESOS 2021</t>
  </si>
  <si>
    <t xml:space="preserve">PRIMA DE SERVICIOS </t>
  </si>
  <si>
    <t>LINA CEBALLOS CONTADORA  CONTRATO 16</t>
  </si>
  <si>
    <t>NOMINA JULIO 2021</t>
  </si>
  <si>
    <t>AJUSTE NÓMINA JUNIO 2021</t>
  </si>
  <si>
    <t xml:space="preserve">    </t>
  </si>
  <si>
    <t>TRASLADO RES 72-2021</t>
  </si>
  <si>
    <t>MARIA ALEJANDRA GARCÍA - C 017-2021</t>
  </si>
  <si>
    <t>JOHANA ESPEJO - C 018-2021</t>
  </si>
  <si>
    <t xml:space="preserve">REEMBOLSO 6 CAJA MENOR </t>
  </si>
  <si>
    <t>DIANA VELEZ</t>
  </si>
  <si>
    <t xml:space="preserve">EDGAR PINZON </t>
  </si>
  <si>
    <t xml:space="preserve">EDWIN BORRERO </t>
  </si>
  <si>
    <t>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</si>
</sst>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_ * #,##0_ ;_ * \-#,##0_ ;_ * &quot;-&quot;_ ;_ @_ "/>
    <numFmt numFmtId="169" formatCode="_-* #,##0.00_-;\-* #,##0.00_-;_-* &quot;-&quot;_-;_-@_-"/>
    <numFmt numFmtId="170" formatCode="[$-1540A]dd\-mmm\-yy;@"/>
    <numFmt numFmtId="171" formatCode="_-&quot;$&quot;\ * #,##0_-;\-&quot;$&quot;\ * #,##0_-;_-&quot;$&quot;\ * &quot;-&quot;??_-;_-@_-"/>
    <numFmt numFmtId="172" formatCode="_-[$$-240A]\ * #,##0_-;\-[$$-240A]\ * #,##0_-;_-[$$-240A]\ * &quot;-&quot;??_-;_-@_-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1"/>
      <color indexed="12"/>
      <name val="Arial"/>
      <family val="2"/>
    </font>
    <font>
      <u/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b/>
      <sz val="12"/>
      <color rgb="FFFF000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" fillId="0" borderId="0"/>
    <xf numFmtId="165" fontId="1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685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4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4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5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6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19" fillId="12" borderId="1" xfId="11" applyFont="1" applyFill="1" applyBorder="1"/>
    <xf numFmtId="3" fontId="19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3" fontId="6" fillId="12" borderId="1" xfId="1" applyNumberFormat="1" applyFont="1" applyFill="1" applyBorder="1" applyAlignment="1">
      <alignment horizontal="right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2" fillId="8" borderId="24" xfId="1" applyFont="1" applyFill="1" applyBorder="1" applyAlignment="1">
      <alignment vertical="center"/>
    </xf>
    <xf numFmtId="3" fontId="19" fillId="12" borderId="1" xfId="1" applyNumberFormat="1" applyFont="1" applyFill="1" applyBorder="1" applyAlignment="1">
      <alignment horizontal="right"/>
    </xf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0" xfId="5" applyFont="1"/>
    <xf numFmtId="0" fontId="2" fillId="0" borderId="0" xfId="5" applyFont="1" applyAlignment="1">
      <alignment wrapText="1"/>
    </xf>
    <xf numFmtId="0" fontId="6" fillId="12" borderId="1" xfId="5" applyFont="1" applyFill="1" applyBorder="1"/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12" fillId="8" borderId="28" xfId="5" applyNumberFormat="1" applyFont="1" applyFill="1" applyBorder="1" applyAlignment="1">
      <alignment wrapText="1"/>
    </xf>
    <xf numFmtId="3" fontId="6" fillId="12" borderId="4" xfId="5" applyNumberFormat="1" applyFont="1" applyFill="1" applyBorder="1"/>
    <xf numFmtId="0" fontId="6" fillId="12" borderId="4" xfId="5" applyFont="1" applyFill="1" applyBorder="1"/>
    <xf numFmtId="3" fontId="19" fillId="12" borderId="4" xfId="5" applyNumberFormat="1" applyFont="1" applyFill="1" applyBorder="1" applyAlignment="1">
      <alignment horizontal="right" vertical="center"/>
    </xf>
    <xf numFmtId="41" fontId="6" fillId="12" borderId="4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41" fontId="14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0" fontId="20" fillId="6" borderId="21" xfId="1" applyFont="1" applyFill="1" applyBorder="1" applyAlignment="1">
      <alignment vertical="center" wrapText="1"/>
    </xf>
    <xf numFmtId="0" fontId="20" fillId="6" borderId="25" xfId="1" applyFont="1" applyFill="1" applyBorder="1" applyAlignment="1">
      <alignment vertical="center"/>
    </xf>
    <xf numFmtId="0" fontId="20" fillId="15" borderId="26" xfId="1" applyFont="1" applyFill="1" applyBorder="1" applyAlignment="1">
      <alignment vertical="center" wrapText="1"/>
    </xf>
    <xf numFmtId="0" fontId="20" fillId="15" borderId="5" xfId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41" fontId="0" fillId="0" borderId="1" xfId="12" applyFont="1" applyBorder="1"/>
    <xf numFmtId="0" fontId="6" fillId="4" borderId="1" xfId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0" xfId="5" applyFont="1" applyFill="1"/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2" fillId="0" borderId="32" xfId="1" applyBorder="1"/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4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3" fontId="7" fillId="0" borderId="2" xfId="1" applyNumberFormat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4" fillId="0" borderId="0" xfId="1" applyNumberFormat="1" applyFont="1"/>
    <xf numFmtId="41" fontId="12" fillId="8" borderId="25" xfId="11" applyFont="1" applyFill="1" applyBorder="1" applyAlignment="1">
      <alignment wrapText="1"/>
    </xf>
    <xf numFmtId="41" fontId="6" fillId="12" borderId="1" xfId="11" applyFont="1" applyFill="1" applyBorder="1"/>
    <xf numFmtId="41" fontId="19" fillId="12" borderId="1" xfId="11" applyFont="1" applyFill="1" applyBorder="1" applyAlignment="1">
      <alignment horizontal="right" vertical="center"/>
    </xf>
    <xf numFmtId="41" fontId="19" fillId="12" borderId="1" xfId="11" applyFont="1" applyFill="1" applyBorder="1" applyAlignment="1">
      <alignment horizontal="right"/>
    </xf>
    <xf numFmtId="41" fontId="6" fillId="11" borderId="1" xfId="11" applyFont="1" applyFill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5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4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4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4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4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41" fontId="6" fillId="11" borderId="4" xfId="5" applyNumberFormat="1" applyFont="1" applyFill="1" applyBorder="1"/>
    <xf numFmtId="167" fontId="5" fillId="0" borderId="4" xfId="4" applyNumberFormat="1" applyFont="1" applyBorder="1" applyAlignment="1">
      <alignment horizontal="right"/>
    </xf>
    <xf numFmtId="0" fontId="12" fillId="6" borderId="9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25" fillId="6" borderId="9" xfId="1" applyFont="1" applyFill="1" applyBorder="1" applyAlignment="1">
      <alignment horizontal="center"/>
    </xf>
    <xf numFmtId="0" fontId="10" fillId="0" borderId="0" xfId="1" applyFont="1"/>
    <xf numFmtId="0" fontId="6" fillId="0" borderId="1" xfId="5" applyFont="1" applyBorder="1" applyAlignment="1">
      <alignment wrapText="1"/>
    </xf>
    <xf numFmtId="0" fontId="6" fillId="13" borderId="5" xfId="5" applyFont="1" applyFill="1" applyBorder="1" applyAlignment="1">
      <alignment horizontal="left" wrapText="1"/>
    </xf>
    <xf numFmtId="0" fontId="6" fillId="13" borderId="5" xfId="5" applyFont="1" applyFill="1" applyBorder="1" applyAlignment="1">
      <alignment horizontal="center" wrapText="1"/>
    </xf>
    <xf numFmtId="3" fontId="6" fillId="13" borderId="5" xfId="5" applyNumberFormat="1" applyFont="1" applyFill="1" applyBorder="1" applyAlignment="1">
      <alignment horizontal="center" wrapText="1"/>
    </xf>
    <xf numFmtId="41" fontId="6" fillId="13" borderId="5" xfId="11" applyFont="1" applyFill="1" applyBorder="1" applyAlignment="1">
      <alignment horizontal="center" wrapText="1"/>
    </xf>
    <xf numFmtId="3" fontId="6" fillId="13" borderId="3" xfId="5" applyNumberFormat="1" applyFont="1" applyFill="1" applyBorder="1" applyAlignment="1">
      <alignment horizontal="center" wrapText="1"/>
    </xf>
    <xf numFmtId="0" fontId="6" fillId="11" borderId="1" xfId="5" applyFont="1" applyFill="1" applyBorder="1" applyAlignment="1">
      <alignment vertical="center"/>
    </xf>
    <xf numFmtId="3" fontId="6" fillId="11" borderId="1" xfId="5" applyNumberFormat="1" applyFont="1" applyFill="1" applyBorder="1" applyAlignment="1">
      <alignment horizontal="right" vertical="center"/>
    </xf>
    <xf numFmtId="0" fontId="10" fillId="0" borderId="1" xfId="5" applyFont="1" applyBorder="1"/>
    <xf numFmtId="0" fontId="10" fillId="3" borderId="1" xfId="1" applyFont="1" applyFill="1" applyBorder="1" applyAlignment="1">
      <alignment horizontal="left"/>
    </xf>
    <xf numFmtId="41" fontId="26" fillId="0" borderId="1" xfId="11" applyFont="1" applyBorder="1"/>
    <xf numFmtId="3" fontId="26" fillId="9" borderId="1" xfId="5" applyNumberFormat="1" applyFont="1" applyFill="1" applyBorder="1" applyAlignment="1">
      <alignment horizontal="right" vertical="center"/>
    </xf>
    <xf numFmtId="3" fontId="10" fillId="10" borderId="1" xfId="5" applyNumberFormat="1" applyFont="1" applyFill="1" applyBorder="1" applyAlignment="1">
      <alignment horizontal="right" vertical="center"/>
    </xf>
    <xf numFmtId="167" fontId="10" fillId="5" borderId="1" xfId="2" applyNumberFormat="1" applyFont="1" applyFill="1" applyBorder="1"/>
    <xf numFmtId="3" fontId="10" fillId="0" borderId="1" xfId="5" applyNumberFormat="1" applyFont="1" applyBorder="1" applyAlignment="1">
      <alignment horizontal="right" vertical="center"/>
    </xf>
    <xf numFmtId="41" fontId="10" fillId="0" borderId="1" xfId="11" applyFont="1" applyBorder="1"/>
    <xf numFmtId="0" fontId="10" fillId="0" borderId="4" xfId="5" applyFont="1" applyBorder="1"/>
    <xf numFmtId="0" fontId="10" fillId="0" borderId="1" xfId="1" applyFont="1" applyBorder="1" applyAlignment="1">
      <alignment horizontal="left"/>
    </xf>
    <xf numFmtId="17" fontId="10" fillId="0" borderId="1" xfId="5" applyNumberFormat="1" applyFont="1" applyBorder="1"/>
    <xf numFmtId="41" fontId="10" fillId="3" borderId="1" xfId="11" applyFont="1" applyFill="1" applyBorder="1"/>
    <xf numFmtId="0" fontId="6" fillId="3" borderId="4" xfId="5" applyFont="1" applyFill="1" applyBorder="1"/>
    <xf numFmtId="0" fontId="6" fillId="3" borderId="1" xfId="5" applyFont="1" applyFill="1" applyBorder="1"/>
    <xf numFmtId="3" fontId="10" fillId="3" borderId="1" xfId="5" applyNumberFormat="1" applyFont="1" applyFill="1" applyBorder="1" applyAlignment="1">
      <alignment horizontal="right" vertical="center"/>
    </xf>
    <xf numFmtId="0" fontId="10" fillId="3" borderId="4" xfId="5" applyFont="1" applyFill="1" applyBorder="1"/>
    <xf numFmtId="41" fontId="10" fillId="3" borderId="0" xfId="11" applyFont="1" applyFill="1" applyBorder="1"/>
    <xf numFmtId="3" fontId="10" fillId="3" borderId="1" xfId="5" applyNumberFormat="1" applyFont="1" applyFill="1" applyBorder="1"/>
    <xf numFmtId="0" fontId="10" fillId="3" borderId="1" xfId="1" applyFont="1" applyFill="1" applyBorder="1"/>
    <xf numFmtId="41" fontId="26" fillId="3" borderId="1" xfId="11" applyFont="1" applyFill="1" applyBorder="1"/>
    <xf numFmtId="3" fontId="10" fillId="0" borderId="1" xfId="5" applyNumberFormat="1" applyFont="1" applyBorder="1"/>
    <xf numFmtId="0" fontId="27" fillId="0" borderId="1" xfId="0" applyFont="1" applyBorder="1"/>
    <xf numFmtId="0" fontId="10" fillId="0" borderId="1" xfId="1" applyFont="1" applyBorder="1"/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/>
    <xf numFmtId="41" fontId="26" fillId="0" borderId="1" xfId="11" applyFont="1" applyFill="1" applyBorder="1"/>
    <xf numFmtId="3" fontId="26" fillId="0" borderId="1" xfId="5" applyNumberFormat="1" applyFont="1" applyFill="1" applyBorder="1" applyAlignment="1">
      <alignment horizontal="right" vertical="center"/>
    </xf>
    <xf numFmtId="3" fontId="10" fillId="0" borderId="1" xfId="5" applyNumberFormat="1" applyFont="1" applyFill="1" applyBorder="1" applyAlignment="1">
      <alignment horizontal="right" vertical="center"/>
    </xf>
    <xf numFmtId="41" fontId="10" fillId="0" borderId="1" xfId="11" applyFont="1" applyFill="1" applyBorder="1"/>
    <xf numFmtId="0" fontId="10" fillId="0" borderId="4" xfId="5" applyFont="1" applyFill="1" applyBorder="1"/>
    <xf numFmtId="3" fontId="10" fillId="5" borderId="1" xfId="5" applyNumberFormat="1" applyFont="1" applyFill="1" applyBorder="1" applyAlignment="1">
      <alignment horizontal="right" vertical="center"/>
    </xf>
    <xf numFmtId="3" fontId="10" fillId="0" borderId="4" xfId="5" applyNumberFormat="1" applyFont="1" applyBorder="1" applyAlignment="1">
      <alignment horizontal="right" vertical="center"/>
    </xf>
    <xf numFmtId="0" fontId="10" fillId="3" borderId="20" xfId="5" applyFont="1" applyFill="1" applyBorder="1"/>
    <xf numFmtId="0" fontId="10" fillId="3" borderId="0" xfId="5" applyFont="1" applyFill="1"/>
    <xf numFmtId="0" fontId="10" fillId="3" borderId="2" xfId="5" applyFont="1" applyFill="1" applyBorder="1"/>
    <xf numFmtId="41" fontId="26" fillId="3" borderId="0" xfId="11" applyFont="1" applyFill="1" applyBorder="1"/>
    <xf numFmtId="3" fontId="10" fillId="10" borderId="1" xfId="1" applyNumberFormat="1" applyFont="1" applyFill="1" applyBorder="1" applyAlignment="1">
      <alignment horizontal="right"/>
    </xf>
    <xf numFmtId="3" fontId="10" fillId="5" borderId="1" xfId="1" applyNumberFormat="1" applyFont="1" applyFill="1" applyBorder="1" applyAlignment="1">
      <alignment horizontal="right"/>
    </xf>
    <xf numFmtId="41" fontId="10" fillId="16" borderId="1" xfId="11" applyFont="1" applyFill="1" applyBorder="1"/>
    <xf numFmtId="0" fontId="10" fillId="0" borderId="2" xfId="1" applyFont="1" applyFill="1" applyBorder="1" applyAlignment="1">
      <alignment horizontal="left" vertical="center"/>
    </xf>
    <xf numFmtId="0" fontId="6" fillId="11" borderId="1" xfId="5" applyFont="1" applyFill="1" applyBorder="1"/>
    <xf numFmtId="41" fontId="6" fillId="11" borderId="1" xfId="5" applyNumberFormat="1" applyFont="1" applyFill="1" applyBorder="1"/>
    <xf numFmtId="3" fontId="6" fillId="11" borderId="1" xfId="5" applyNumberFormat="1" applyFont="1" applyFill="1" applyBorder="1"/>
    <xf numFmtId="41" fontId="19" fillId="0" borderId="1" xfId="11" applyFont="1" applyBorder="1"/>
    <xf numFmtId="3" fontId="19" fillId="9" borderId="1" xfId="5" applyNumberFormat="1" applyFont="1" applyFill="1" applyBorder="1" applyAlignment="1">
      <alignment horizontal="right" vertical="center"/>
    </xf>
    <xf numFmtId="3" fontId="6" fillId="10" borderId="1" xfId="1" applyNumberFormat="1" applyFont="1" applyFill="1" applyBorder="1" applyAlignment="1">
      <alignment horizontal="right"/>
    </xf>
    <xf numFmtId="0" fontId="6" fillId="3" borderId="1" xfId="1" applyFont="1" applyFill="1" applyBorder="1" applyAlignment="1">
      <alignment horizontal="left"/>
    </xf>
    <xf numFmtId="0" fontId="6" fillId="3" borderId="1" xfId="1" applyFont="1" applyFill="1" applyBorder="1"/>
    <xf numFmtId="0" fontId="10" fillId="2" borderId="1" xfId="1" applyFont="1" applyFill="1" applyBorder="1"/>
    <xf numFmtId="0" fontId="6" fillId="0" borderId="1" xfId="5" applyFont="1" applyBorder="1"/>
    <xf numFmtId="0" fontId="10" fillId="12" borderId="1" xfId="1" applyFont="1" applyFill="1" applyBorder="1" applyAlignment="1">
      <alignment horizontal="left"/>
    </xf>
    <xf numFmtId="41" fontId="26" fillId="12" borderId="1" xfId="11" applyFont="1" applyFill="1" applyBorder="1"/>
    <xf numFmtId="3" fontId="26" fillId="12" borderId="1" xfId="5" applyNumberFormat="1" applyFont="1" applyFill="1" applyBorder="1" applyAlignment="1">
      <alignment horizontal="right" vertical="center"/>
    </xf>
    <xf numFmtId="3" fontId="10" fillId="12" borderId="1" xfId="5" applyNumberFormat="1" applyFont="1" applyFill="1" applyBorder="1" applyAlignment="1">
      <alignment horizontal="right" vertical="center"/>
    </xf>
    <xf numFmtId="41" fontId="10" fillId="12" borderId="1" xfId="11" applyFont="1" applyFill="1" applyBorder="1"/>
    <xf numFmtId="0" fontId="10" fillId="12" borderId="4" xfId="5" applyFont="1" applyFill="1" applyBorder="1"/>
    <xf numFmtId="0" fontId="6" fillId="13" borderId="1" xfId="5" applyFont="1" applyFill="1" applyBorder="1" applyAlignment="1">
      <alignment horizontal="left"/>
    </xf>
    <xf numFmtId="0" fontId="6" fillId="13" borderId="1" xfId="5" applyFont="1" applyFill="1" applyBorder="1"/>
    <xf numFmtId="3" fontId="6" fillId="13" borderId="1" xfId="5" applyNumberFormat="1" applyFont="1" applyFill="1" applyBorder="1" applyAlignment="1">
      <alignment horizontal="right" vertical="center"/>
    </xf>
    <xf numFmtId="41" fontId="6" fillId="13" borderId="1" xfId="11" applyFont="1" applyFill="1" applyBorder="1" applyAlignment="1">
      <alignment horizontal="right" vertical="center"/>
    </xf>
    <xf numFmtId="3" fontId="6" fillId="11" borderId="4" xfId="5" applyNumberFormat="1" applyFont="1" applyFill="1" applyBorder="1"/>
    <xf numFmtId="0" fontId="10" fillId="3" borderId="2" xfId="1" applyFont="1" applyFill="1" applyBorder="1"/>
    <xf numFmtId="0" fontId="10" fillId="2" borderId="1" xfId="1" applyFont="1" applyFill="1" applyBorder="1" applyAlignment="1">
      <alignment horizontal="left"/>
    </xf>
    <xf numFmtId="3" fontId="26" fillId="9" borderId="1" xfId="1" applyNumberFormat="1" applyFont="1" applyFill="1" applyBorder="1" applyAlignment="1">
      <alignment horizontal="right"/>
    </xf>
    <xf numFmtId="41" fontId="10" fillId="0" borderId="0" xfId="11" applyFont="1"/>
    <xf numFmtId="41" fontId="6" fillId="11" borderId="1" xfId="11" applyFont="1" applyFill="1" applyBorder="1" applyAlignment="1">
      <alignment vertical="center"/>
    </xf>
    <xf numFmtId="3" fontId="10" fillId="5" borderId="16" xfId="5" applyNumberFormat="1" applyFont="1" applyFill="1" applyBorder="1" applyAlignment="1">
      <alignment horizontal="right" vertical="center"/>
    </xf>
    <xf numFmtId="3" fontId="10" fillId="0" borderId="16" xfId="5" applyNumberFormat="1" applyFont="1" applyBorder="1" applyAlignment="1">
      <alignment horizontal="right" vertical="center"/>
    </xf>
    <xf numFmtId="0" fontId="10" fillId="0" borderId="1" xfId="5" applyFont="1" applyBorder="1" applyAlignment="1">
      <alignment horizontal="left"/>
    </xf>
    <xf numFmtId="0" fontId="10" fillId="3" borderId="1" xfId="5" applyFont="1" applyFill="1" applyBorder="1" applyAlignment="1">
      <alignment horizontal="left"/>
    </xf>
    <xf numFmtId="0" fontId="6" fillId="11" borderId="1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41" fontId="6" fillId="11" borderId="1" xfId="1" applyNumberFormat="1" applyFont="1" applyFill="1" applyBorder="1" applyAlignment="1">
      <alignment vertical="center" wrapText="1"/>
    </xf>
    <xf numFmtId="41" fontId="6" fillId="11" borderId="1" xfId="11" applyFont="1" applyFill="1" applyBorder="1" applyAlignment="1">
      <alignment vertical="center" wrapText="1"/>
    </xf>
    <xf numFmtId="41" fontId="6" fillId="11" borderId="4" xfId="5" applyNumberFormat="1" applyFont="1" applyFill="1" applyBorder="1" applyAlignment="1">
      <alignment wrapText="1"/>
    </xf>
    <xf numFmtId="0" fontId="10" fillId="0" borderId="1" xfId="5" applyFont="1" applyBorder="1" applyAlignment="1">
      <alignment wrapText="1"/>
    </xf>
    <xf numFmtId="3" fontId="10" fillId="3" borderId="4" xfId="5" applyNumberFormat="1" applyFont="1" applyFill="1" applyBorder="1"/>
    <xf numFmtId="0" fontId="6" fillId="12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168" fontId="10" fillId="0" borderId="0" xfId="9" applyNumberFormat="1" applyFont="1" applyAlignment="1">
      <alignment horizontal="left" vertical="center"/>
    </xf>
    <xf numFmtId="0" fontId="10" fillId="3" borderId="16" xfId="1" applyFont="1" applyFill="1" applyBorder="1" applyAlignment="1">
      <alignment horizontal="left"/>
    </xf>
    <xf numFmtId="3" fontId="26" fillId="9" borderId="16" xfId="5" applyNumberFormat="1" applyFont="1" applyFill="1" applyBorder="1" applyAlignment="1">
      <alignment horizontal="right" vertical="center"/>
    </xf>
    <xf numFmtId="3" fontId="10" fillId="10" borderId="16" xfId="5" applyNumberFormat="1" applyFont="1" applyFill="1" applyBorder="1" applyAlignment="1">
      <alignment horizontal="right" vertical="center"/>
    </xf>
    <xf numFmtId="41" fontId="10" fillId="0" borderId="16" xfId="11" applyFont="1" applyBorder="1" applyAlignment="1">
      <alignment horizontal="right" vertical="center"/>
    </xf>
    <xf numFmtId="0" fontId="10" fillId="0" borderId="17" xfId="5" applyFont="1" applyBorder="1"/>
    <xf numFmtId="41" fontId="10" fillId="0" borderId="16" xfId="11" applyFont="1" applyBorder="1"/>
    <xf numFmtId="0" fontId="10" fillId="0" borderId="16" xfId="1" applyFont="1" applyBorder="1" applyAlignment="1">
      <alignment horizontal="left"/>
    </xf>
    <xf numFmtId="0" fontId="10" fillId="0" borderId="16" xfId="5" applyFont="1" applyBorder="1"/>
    <xf numFmtId="41" fontId="12" fillId="8" borderId="24" xfId="11" applyFont="1" applyFill="1" applyBorder="1" applyAlignment="1">
      <alignment vertical="center"/>
    </xf>
    <xf numFmtId="41" fontId="12" fillId="8" borderId="29" xfId="11" applyFont="1" applyFill="1" applyBorder="1"/>
    <xf numFmtId="0" fontId="10" fillId="0" borderId="0" xfId="5" applyFont="1" applyAlignment="1">
      <alignment horizontal="left"/>
    </xf>
    <xf numFmtId="41" fontId="10" fillId="0" borderId="0" xfId="5" applyNumberFormat="1" applyFont="1"/>
    <xf numFmtId="3" fontId="10" fillId="0" borderId="0" xfId="5" applyNumberFormat="1" applyFon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8" fillId="3" borderId="1" xfId="5" applyFont="1" applyFill="1" applyBorder="1"/>
    <xf numFmtId="41" fontId="10" fillId="3" borderId="16" xfId="11" applyFont="1" applyFill="1" applyBorder="1"/>
    <xf numFmtId="0" fontId="7" fillId="0" borderId="4" xfId="1" applyFont="1" applyFill="1" applyBorder="1" applyAlignment="1">
      <alignment horizontal="right" wrapText="1"/>
    </xf>
    <xf numFmtId="3" fontId="5" fillId="0" borderId="33" xfId="1" applyNumberFormat="1" applyFont="1" applyBorder="1" applyAlignment="1">
      <alignment horizontal="right"/>
    </xf>
    <xf numFmtId="3" fontId="6" fillId="3" borderId="1" xfId="1" applyNumberFormat="1" applyFont="1" applyFill="1" applyBorder="1" applyAlignment="1">
      <alignment horizontal="right" vertical="center"/>
    </xf>
    <xf numFmtId="3" fontId="10" fillId="3" borderId="4" xfId="1" applyNumberFormat="1" applyFont="1" applyFill="1" applyBorder="1" applyAlignment="1">
      <alignment horizontal="right" vertical="center"/>
    </xf>
    <xf numFmtId="166" fontId="6" fillId="3" borderId="1" xfId="1" applyNumberFormat="1" applyFont="1" applyFill="1" applyBorder="1" applyAlignment="1">
      <alignment vertical="center"/>
    </xf>
    <xf numFmtId="9" fontId="7" fillId="3" borderId="33" xfId="1" applyNumberFormat="1" applyFont="1" applyFill="1" applyBorder="1" applyAlignment="1">
      <alignment horizontal="center"/>
    </xf>
    <xf numFmtId="3" fontId="5" fillId="3" borderId="4" xfId="1" applyNumberFormat="1" applyFont="1" applyFill="1" applyBorder="1" applyAlignment="1">
      <alignment horizontal="right"/>
    </xf>
    <xf numFmtId="167" fontId="6" fillId="4" borderId="1" xfId="1" applyNumberFormat="1" applyFont="1" applyFill="1" applyBorder="1" applyAlignment="1">
      <alignment vertical="center"/>
    </xf>
    <xf numFmtId="0" fontId="7" fillId="0" borderId="37" xfId="1" applyFont="1" applyBorder="1"/>
    <xf numFmtId="0" fontId="7" fillId="0" borderId="3" xfId="1" applyFont="1" applyBorder="1"/>
    <xf numFmtId="167" fontId="7" fillId="0" borderId="3" xfId="4" applyNumberFormat="1" applyFont="1" applyBorder="1"/>
    <xf numFmtId="0" fontId="7" fillId="0" borderId="5" xfId="1" applyFont="1" applyBorder="1"/>
    <xf numFmtId="4" fontId="7" fillId="0" borderId="5" xfId="1" applyNumberFormat="1" applyFont="1" applyBorder="1"/>
    <xf numFmtId="0" fontId="7" fillId="0" borderId="5" xfId="1" applyFont="1" applyFill="1" applyBorder="1"/>
    <xf numFmtId="0" fontId="12" fillId="6" borderId="13" xfId="1" applyFont="1" applyFill="1" applyBorder="1" applyAlignment="1">
      <alignment horizontal="center"/>
    </xf>
    <xf numFmtId="0" fontId="25" fillId="6" borderId="13" xfId="1" applyFont="1" applyFill="1" applyBorder="1"/>
    <xf numFmtId="0" fontId="12" fillId="6" borderId="10" xfId="1" applyFont="1" applyFill="1" applyBorder="1" applyAlignment="1">
      <alignment horizontal="center"/>
    </xf>
    <xf numFmtId="167" fontId="12" fillId="6" borderId="11" xfId="4" applyNumberFormat="1" applyFont="1" applyFill="1" applyBorder="1" applyAlignment="1">
      <alignment horizontal="center"/>
    </xf>
    <xf numFmtId="0" fontId="12" fillId="6" borderId="12" xfId="1" applyFont="1" applyFill="1" applyBorder="1" applyAlignment="1">
      <alignment horizontal="center"/>
    </xf>
    <xf numFmtId="0" fontId="12" fillId="6" borderId="12" xfId="1" applyFont="1" applyFill="1" applyBorder="1"/>
    <xf numFmtId="0" fontId="12" fillId="6" borderId="12" xfId="1" applyFont="1" applyFill="1" applyBorder="1" applyAlignment="1">
      <alignment horizontal="right"/>
    </xf>
    <xf numFmtId="0" fontId="12" fillId="6" borderId="32" xfId="1" applyFont="1" applyFill="1" applyBorder="1" applyAlignment="1">
      <alignment horizontal="right"/>
    </xf>
    <xf numFmtId="0" fontId="12" fillId="6" borderId="8" xfId="1" applyFont="1" applyFill="1" applyBorder="1"/>
    <xf numFmtId="0" fontId="12" fillId="6" borderId="9" xfId="1" applyFont="1" applyFill="1" applyBorder="1" applyAlignment="1">
      <alignment horizontal="right"/>
    </xf>
    <xf numFmtId="0" fontId="22" fillId="2" borderId="0" xfId="1" applyFont="1" applyFill="1" applyAlignment="1"/>
    <xf numFmtId="0" fontId="22" fillId="2" borderId="0" xfId="1" applyFont="1" applyFill="1" applyAlignment="1">
      <alignment vertical="center"/>
    </xf>
    <xf numFmtId="3" fontId="23" fillId="17" borderId="1" xfId="1" applyNumberFormat="1" applyFont="1" applyFill="1" applyBorder="1" applyAlignment="1">
      <alignment horizontal="right"/>
    </xf>
    <xf numFmtId="3" fontId="5" fillId="18" borderId="1" xfId="1" applyNumberFormat="1" applyFont="1" applyFill="1" applyBorder="1" applyAlignment="1">
      <alignment horizontal="right"/>
    </xf>
    <xf numFmtId="167" fontId="4" fillId="19" borderId="1" xfId="2" applyNumberFormat="1" applyFont="1" applyFill="1" applyBorder="1"/>
    <xf numFmtId="169" fontId="0" fillId="0" borderId="0" xfId="12" applyNumberFormat="1" applyFont="1"/>
    <xf numFmtId="169" fontId="20" fillId="6" borderId="22" xfId="1" applyNumberFormat="1" applyFont="1" applyFill="1" applyBorder="1" applyAlignment="1">
      <alignment vertical="center"/>
    </xf>
    <xf numFmtId="169" fontId="21" fillId="15" borderId="30" xfId="1" applyNumberFormat="1" applyFont="1" applyFill="1" applyBorder="1" applyAlignment="1">
      <alignment vertical="center"/>
    </xf>
    <xf numFmtId="169" fontId="0" fillId="0" borderId="15" xfId="12" applyNumberFormat="1" applyFont="1" applyBorder="1"/>
    <xf numFmtId="169" fontId="6" fillId="4" borderId="15" xfId="13" applyNumberFormat="1" applyFont="1" applyFill="1" applyBorder="1" applyAlignment="1">
      <alignment vertical="center"/>
    </xf>
    <xf numFmtId="169" fontId="0" fillId="0" borderId="1" xfId="12" applyNumberFormat="1" applyFont="1" applyBorder="1"/>
    <xf numFmtId="169" fontId="6" fillId="4" borderId="15" xfId="1" applyNumberFormat="1" applyFont="1" applyFill="1" applyBorder="1" applyAlignment="1">
      <alignment vertical="center"/>
    </xf>
    <xf numFmtId="169" fontId="6" fillId="4" borderId="15" xfId="1" applyNumberFormat="1" applyFont="1" applyFill="1" applyBorder="1" applyAlignment="1">
      <alignment horizontal="left" vertical="center"/>
    </xf>
    <xf numFmtId="169" fontId="7" fillId="4" borderId="15" xfId="1" applyNumberFormat="1" applyFont="1" applyFill="1" applyBorder="1" applyAlignment="1">
      <alignment horizontal="left" vertical="center" wrapText="1"/>
    </xf>
    <xf numFmtId="169" fontId="7" fillId="4" borderId="15" xfId="1" applyNumberFormat="1" applyFont="1" applyFill="1" applyBorder="1" applyAlignment="1">
      <alignment horizontal="left" vertical="center"/>
    </xf>
    <xf numFmtId="169" fontId="0" fillId="0" borderId="31" xfId="12" applyNumberFormat="1" applyFont="1" applyBorder="1"/>
    <xf numFmtId="170" fontId="12" fillId="8" borderId="21" xfId="5" applyNumberFormat="1" applyFont="1" applyFill="1" applyBorder="1" applyAlignment="1">
      <alignment wrapText="1"/>
    </xf>
    <xf numFmtId="170" fontId="6" fillId="13" borderId="26" xfId="5" applyNumberFormat="1" applyFont="1" applyFill="1" applyBorder="1" applyAlignment="1">
      <alignment wrapText="1"/>
    </xf>
    <xf numFmtId="170" fontId="6" fillId="11" borderId="20" xfId="1" applyNumberFormat="1" applyFont="1" applyFill="1" applyBorder="1" applyAlignment="1">
      <alignment horizontal="left" vertical="center"/>
    </xf>
    <xf numFmtId="170" fontId="6" fillId="12" borderId="20" xfId="5" applyNumberFormat="1" applyFont="1" applyFill="1" applyBorder="1"/>
    <xf numFmtId="170" fontId="10" fillId="3" borderId="1" xfId="5" applyNumberFormat="1" applyFont="1" applyFill="1" applyBorder="1"/>
    <xf numFmtId="170" fontId="10" fillId="0" borderId="20" xfId="5" applyNumberFormat="1" applyFont="1" applyBorder="1"/>
    <xf numFmtId="170" fontId="10" fillId="3" borderId="20" xfId="5" applyNumberFormat="1" applyFont="1" applyFill="1" applyBorder="1"/>
    <xf numFmtId="170" fontId="10" fillId="0" borderId="20" xfId="5" applyNumberFormat="1" applyFont="1" applyFill="1" applyBorder="1"/>
    <xf numFmtId="170" fontId="10" fillId="0" borderId="1" xfId="5" applyNumberFormat="1" applyFont="1" applyBorder="1"/>
    <xf numFmtId="170" fontId="6" fillId="11" borderId="1" xfId="5" applyNumberFormat="1" applyFont="1" applyFill="1" applyBorder="1"/>
    <xf numFmtId="170" fontId="6" fillId="3" borderId="20" xfId="5" applyNumberFormat="1" applyFont="1" applyFill="1" applyBorder="1"/>
    <xf numFmtId="170" fontId="10" fillId="12" borderId="20" xfId="5" applyNumberFormat="1" applyFont="1" applyFill="1" applyBorder="1"/>
    <xf numFmtId="170" fontId="6" fillId="13" borderId="20" xfId="5" applyNumberFormat="1" applyFont="1" applyFill="1" applyBorder="1"/>
    <xf numFmtId="170" fontId="10" fillId="11" borderId="20" xfId="5" applyNumberFormat="1" applyFont="1" applyFill="1" applyBorder="1"/>
    <xf numFmtId="170" fontId="10" fillId="0" borderId="20" xfId="5" applyNumberFormat="1" applyFont="1" applyBorder="1" applyAlignment="1">
      <alignment horizontal="right"/>
    </xf>
    <xf numFmtId="170" fontId="10" fillId="0" borderId="0" xfId="5" applyNumberFormat="1" applyFont="1"/>
    <xf numFmtId="170" fontId="6" fillId="12" borderId="1" xfId="5" applyNumberFormat="1" applyFont="1" applyFill="1" applyBorder="1"/>
    <xf numFmtId="170" fontId="6" fillId="11" borderId="20" xfId="5" applyNumberFormat="1" applyFont="1" applyFill="1" applyBorder="1" applyAlignment="1">
      <alignment wrapText="1"/>
    </xf>
    <xf numFmtId="170" fontId="6" fillId="11" borderId="20" xfId="5" applyNumberFormat="1" applyFont="1" applyFill="1" applyBorder="1"/>
    <xf numFmtId="170" fontId="10" fillId="3" borderId="27" xfId="5" applyNumberFormat="1" applyFont="1" applyFill="1" applyBorder="1"/>
    <xf numFmtId="170" fontId="10" fillId="0" borderId="27" xfId="5" applyNumberFormat="1" applyFont="1" applyBorder="1"/>
    <xf numFmtId="170" fontId="12" fillId="8" borderId="23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7" fillId="0" borderId="34" xfId="1" applyFont="1" applyBorder="1" applyAlignment="1">
      <alignment horizontal="left" indent="1"/>
    </xf>
    <xf numFmtId="0" fontId="8" fillId="0" borderId="27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7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right" vertical="center"/>
    </xf>
    <xf numFmtId="167" fontId="8" fillId="2" borderId="1" xfId="4" applyNumberFormat="1" applyFont="1" applyFill="1" applyBorder="1" applyAlignment="1">
      <alignment horizontal="right"/>
    </xf>
    <xf numFmtId="41" fontId="10" fillId="3" borderId="1" xfId="11" applyFont="1" applyFill="1" applyBorder="1" applyAlignment="1">
      <alignment horizontal="right"/>
    </xf>
    <xf numFmtId="41" fontId="2" fillId="0" borderId="0" xfId="5" applyNumberFormat="1" applyFont="1" applyAlignment="1">
      <alignment horizontal="right"/>
    </xf>
    <xf numFmtId="167" fontId="8" fillId="2" borderId="1" xfId="2" applyNumberFormat="1" applyFont="1" applyFill="1" applyBorder="1" applyAlignment="1">
      <alignment horizontal="right"/>
    </xf>
    <xf numFmtId="0" fontId="10" fillId="0" borderId="4" xfId="5" applyFont="1" applyBorder="1" applyAlignment="1">
      <alignment horizontal="right"/>
    </xf>
    <xf numFmtId="0" fontId="2" fillId="0" borderId="0" xfId="9" applyAlignment="1">
      <alignment horizontal="left"/>
    </xf>
    <xf numFmtId="0" fontId="2" fillId="0" borderId="6" xfId="9" applyBorder="1"/>
    <xf numFmtId="0" fontId="2" fillId="0" borderId="7" xfId="9" applyBorder="1"/>
    <xf numFmtId="0" fontId="2" fillId="0" borderId="8" xfId="9" applyBorder="1"/>
    <xf numFmtId="0" fontId="2" fillId="0" borderId="0" xfId="9"/>
    <xf numFmtId="0" fontId="2" fillId="11" borderId="0" xfId="9" applyFill="1" applyAlignment="1">
      <alignment horizontal="left"/>
    </xf>
    <xf numFmtId="0" fontId="4" fillId="11" borderId="6" xfId="9" applyFont="1" applyFill="1" applyBorder="1" applyAlignment="1">
      <alignment horizontal="center"/>
    </xf>
    <xf numFmtId="0" fontId="4" fillId="11" borderId="9" xfId="9" applyFont="1" applyFill="1" applyBorder="1" applyAlignment="1">
      <alignment horizontal="center"/>
    </xf>
    <xf numFmtId="0" fontId="4" fillId="11" borderId="7" xfId="9" applyFont="1" applyFill="1" applyBorder="1" applyAlignment="1">
      <alignment horizontal="center"/>
    </xf>
    <xf numFmtId="0" fontId="2" fillId="11" borderId="10" xfId="9" applyFill="1" applyBorder="1"/>
    <xf numFmtId="0" fontId="4" fillId="11" borderId="10" xfId="9" applyFont="1" applyFill="1" applyBorder="1" applyAlignment="1">
      <alignment horizontal="center"/>
    </xf>
    <xf numFmtId="0" fontId="4" fillId="11" borderId="13" xfId="9" applyFont="1" applyFill="1" applyBorder="1" applyAlignment="1">
      <alignment horizontal="center"/>
    </xf>
    <xf numFmtId="0" fontId="4" fillId="11" borderId="11" xfId="9" applyFont="1" applyFill="1" applyBorder="1"/>
    <xf numFmtId="0" fontId="4" fillId="11" borderId="11" xfId="9" applyFont="1" applyFill="1" applyBorder="1" applyAlignment="1">
      <alignment horizontal="center"/>
    </xf>
    <xf numFmtId="0" fontId="2" fillId="11" borderId="13" xfId="9" applyFill="1" applyBorder="1"/>
    <xf numFmtId="0" fontId="2" fillId="11" borderId="11" xfId="9" applyFill="1" applyBorder="1"/>
    <xf numFmtId="0" fontId="2" fillId="0" borderId="18" xfId="9" applyBorder="1"/>
    <xf numFmtId="3" fontId="2" fillId="0" borderId="0" xfId="9" applyNumberFormat="1"/>
    <xf numFmtId="3" fontId="2" fillId="0" borderId="18" xfId="9" applyNumberFormat="1" applyBorder="1"/>
    <xf numFmtId="3" fontId="2" fillId="0" borderId="19" xfId="9" applyNumberFormat="1" applyBorder="1"/>
    <xf numFmtId="0" fontId="2" fillId="3" borderId="20" xfId="9" applyFill="1" applyBorder="1"/>
    <xf numFmtId="4" fontId="4" fillId="0" borderId="4" xfId="9" applyNumberFormat="1" applyFont="1" applyBorder="1"/>
    <xf numFmtId="3" fontId="2" fillId="0" borderId="20" xfId="9" applyNumberFormat="1" applyBorder="1"/>
    <xf numFmtId="3" fontId="2" fillId="0" borderId="1" xfId="9" applyNumberFormat="1" applyBorder="1"/>
    <xf numFmtId="4" fontId="2" fillId="0" borderId="1" xfId="9" applyNumberFormat="1" applyBorder="1"/>
    <xf numFmtId="4" fontId="2" fillId="0" borderId="15" xfId="9" applyNumberFormat="1" applyBorder="1"/>
    <xf numFmtId="3" fontId="4" fillId="0" borderId="4" xfId="9" applyNumberFormat="1" applyFont="1" applyBorder="1"/>
    <xf numFmtId="3" fontId="2" fillId="0" borderId="15" xfId="9" applyNumberFormat="1" applyBorder="1"/>
    <xf numFmtId="0" fontId="4" fillId="11" borderId="20" xfId="9" applyFont="1" applyFill="1" applyBorder="1"/>
    <xf numFmtId="4" fontId="4" fillId="11" borderId="4" xfId="9" applyNumberFormat="1" applyFont="1" applyFill="1" applyBorder="1"/>
    <xf numFmtId="3" fontId="2" fillId="11" borderId="20" xfId="9" applyNumberFormat="1" applyFill="1" applyBorder="1"/>
    <xf numFmtId="3" fontId="2" fillId="11" borderId="1" xfId="9" applyNumberFormat="1" applyFill="1" applyBorder="1"/>
    <xf numFmtId="4" fontId="2" fillId="11" borderId="1" xfId="9" applyNumberFormat="1" applyFill="1" applyBorder="1"/>
    <xf numFmtId="4" fontId="2" fillId="11" borderId="15" xfId="9" applyNumberFormat="1" applyFill="1" applyBorder="1"/>
    <xf numFmtId="3" fontId="4" fillId="11" borderId="1" xfId="9" applyNumberFormat="1" applyFont="1" applyFill="1" applyBorder="1"/>
    <xf numFmtId="4" fontId="4" fillId="11" borderId="1" xfId="9" applyNumberFormat="1" applyFont="1" applyFill="1" applyBorder="1"/>
    <xf numFmtId="4" fontId="4" fillId="11" borderId="15" xfId="9" applyNumberFormat="1" applyFont="1" applyFill="1" applyBorder="1"/>
    <xf numFmtId="0" fontId="2" fillId="0" borderId="10" xfId="9" applyBorder="1"/>
    <xf numFmtId="3" fontId="4" fillId="0" borderId="11" xfId="9" applyNumberFormat="1" applyFont="1" applyBorder="1"/>
    <xf numFmtId="3" fontId="2" fillId="0" borderId="10" xfId="9" applyNumberFormat="1" applyBorder="1"/>
    <xf numFmtId="3" fontId="2" fillId="0" borderId="11" xfId="9" applyNumberFormat="1" applyBorder="1"/>
    <xf numFmtId="3" fontId="2" fillId="0" borderId="12" xfId="9" applyNumberFormat="1" applyBorder="1"/>
    <xf numFmtId="0" fontId="4" fillId="0" borderId="18" xfId="9" applyFont="1" applyBorder="1" applyAlignment="1">
      <alignment horizontal="centerContinuous"/>
    </xf>
    <xf numFmtId="3" fontId="4" fillId="0" borderId="0" xfId="9" applyNumberFormat="1" applyFont="1" applyAlignment="1">
      <alignment horizontal="centerContinuous"/>
    </xf>
    <xf numFmtId="3" fontId="4" fillId="0" borderId="18" xfId="9" applyNumberFormat="1" applyFont="1" applyBorder="1" applyAlignment="1">
      <alignment horizontal="centerContinuous"/>
    </xf>
    <xf numFmtId="0" fontId="4" fillId="0" borderId="0" xfId="9" applyFont="1" applyAlignment="1">
      <alignment horizontal="centerContinuous"/>
    </xf>
    <xf numFmtId="3" fontId="4" fillId="0" borderId="19" xfId="9" applyNumberFormat="1" applyFont="1" applyBorder="1" applyAlignment="1">
      <alignment horizontal="centerContinuous"/>
    </xf>
    <xf numFmtId="3" fontId="4" fillId="0" borderId="0" xfId="9" applyNumberFormat="1" applyFont="1" applyAlignment="1">
      <alignment horizontal="centerContinuous" wrapText="1"/>
    </xf>
    <xf numFmtId="0" fontId="2" fillId="7" borderId="0" xfId="9" applyFill="1" applyAlignment="1">
      <alignment horizontal="left"/>
    </xf>
    <xf numFmtId="0" fontId="4" fillId="7" borderId="6" xfId="9" applyFont="1" applyFill="1" applyBorder="1" applyAlignment="1">
      <alignment horizontal="center"/>
    </xf>
    <xf numFmtId="3" fontId="4" fillId="7" borderId="6" xfId="9" applyNumberFormat="1" applyFont="1" applyFill="1" applyBorder="1" applyAlignment="1">
      <alignment horizontal="center"/>
    </xf>
    <xf numFmtId="3" fontId="4" fillId="7" borderId="9" xfId="9" applyNumberFormat="1" applyFont="1" applyFill="1" applyBorder="1" applyAlignment="1">
      <alignment horizontal="center"/>
    </xf>
    <xf numFmtId="3" fontId="4" fillId="7" borderId="7" xfId="9" applyNumberFormat="1" applyFont="1" applyFill="1" applyBorder="1" applyAlignment="1">
      <alignment horizontal="center"/>
    </xf>
    <xf numFmtId="3" fontId="4" fillId="7" borderId="8" xfId="9" applyNumberFormat="1" applyFont="1" applyFill="1" applyBorder="1" applyAlignment="1">
      <alignment horizontal="center"/>
    </xf>
    <xf numFmtId="0" fontId="2" fillId="7" borderId="10" xfId="9" applyFill="1" applyBorder="1"/>
    <xf numFmtId="3" fontId="4" fillId="7" borderId="10" xfId="9" applyNumberFormat="1" applyFont="1" applyFill="1" applyBorder="1" applyAlignment="1">
      <alignment horizontal="center"/>
    </xf>
    <xf numFmtId="3" fontId="4" fillId="7" borderId="13" xfId="9" applyNumberFormat="1" applyFont="1" applyFill="1" applyBorder="1" applyAlignment="1">
      <alignment horizontal="center"/>
    </xf>
    <xf numFmtId="3" fontId="2" fillId="7" borderId="11" xfId="9" applyNumberFormat="1" applyFill="1" applyBorder="1"/>
    <xf numFmtId="3" fontId="2" fillId="7" borderId="13" xfId="9" applyNumberFormat="1" applyFill="1" applyBorder="1"/>
    <xf numFmtId="3" fontId="4" fillId="7" borderId="11" xfId="9" applyNumberFormat="1" applyFont="1" applyFill="1" applyBorder="1" applyAlignment="1">
      <alignment horizontal="center"/>
    </xf>
    <xf numFmtId="3" fontId="2" fillId="7" borderId="12" xfId="9" applyNumberFormat="1" applyFill="1" applyBorder="1"/>
    <xf numFmtId="0" fontId="4" fillId="7" borderId="21" xfId="9" applyFont="1" applyFill="1" applyBorder="1"/>
    <xf numFmtId="3" fontId="4" fillId="7" borderId="22" xfId="9" applyNumberFormat="1" applyFont="1" applyFill="1" applyBorder="1" applyAlignment="1">
      <alignment horizontal="right" vertical="center"/>
    </xf>
    <xf numFmtId="3" fontId="15" fillId="7" borderId="2" xfId="9" applyNumberFormat="1" applyFont="1" applyFill="1" applyBorder="1" applyAlignment="1">
      <alignment horizontal="right" vertical="center"/>
    </xf>
    <xf numFmtId="3" fontId="4" fillId="7" borderId="1" xfId="9" applyNumberFormat="1" applyFont="1" applyFill="1" applyBorder="1" applyAlignment="1">
      <alignment horizontal="right" vertical="center"/>
    </xf>
    <xf numFmtId="3" fontId="16" fillId="7" borderId="1" xfId="9" applyNumberFormat="1" applyFont="1" applyFill="1" applyBorder="1" applyAlignment="1">
      <alignment horizontal="right" vertical="center"/>
    </xf>
    <xf numFmtId="0" fontId="2" fillId="0" borderId="20" xfId="1" applyBorder="1" applyAlignment="1">
      <alignment horizontal="left"/>
    </xf>
    <xf numFmtId="0" fontId="2" fillId="0" borderId="1" xfId="1" applyBorder="1"/>
    <xf numFmtId="3" fontId="14" fillId="9" borderId="2" xfId="9" applyNumberFormat="1" applyFont="1" applyFill="1" applyBorder="1" applyAlignment="1">
      <alignment horizontal="right" vertical="center"/>
    </xf>
    <xf numFmtId="3" fontId="2" fillId="10" borderId="1" xfId="9" applyNumberFormat="1" applyFill="1" applyBorder="1" applyAlignment="1">
      <alignment horizontal="right" vertical="center"/>
    </xf>
    <xf numFmtId="167" fontId="2" fillId="5" borderId="1" xfId="2" applyNumberFormat="1" applyFill="1" applyBorder="1"/>
    <xf numFmtId="3" fontId="2" fillId="0" borderId="1" xfId="9" applyNumberFormat="1" applyBorder="1" applyAlignment="1">
      <alignment horizontal="right" vertical="center"/>
    </xf>
    <xf numFmtId="3" fontId="2" fillId="0" borderId="1" xfId="1" applyNumberFormat="1" applyBorder="1" applyAlignment="1">
      <alignment horizontal="right"/>
    </xf>
    <xf numFmtId="3" fontId="2" fillId="0" borderId="15" xfId="9" applyNumberFormat="1" applyBorder="1" applyAlignment="1">
      <alignment horizontal="right" vertical="center"/>
    </xf>
    <xf numFmtId="3" fontId="2" fillId="5" borderId="1" xfId="9" applyNumberFormat="1" applyFill="1" applyBorder="1" applyAlignment="1">
      <alignment horizontal="right" vertical="center"/>
    </xf>
    <xf numFmtId="3" fontId="2" fillId="10" borderId="1" xfId="1" applyNumberFormat="1" applyFill="1" applyBorder="1" applyAlignment="1">
      <alignment horizontal="right"/>
    </xf>
    <xf numFmtId="3" fontId="2" fillId="5" borderId="1" xfId="1" applyNumberFormat="1" applyFill="1" applyBorder="1" applyAlignment="1">
      <alignment horizontal="right"/>
    </xf>
    <xf numFmtId="3" fontId="8" fillId="0" borderId="1" xfId="6" applyNumberFormat="1" applyFont="1" applyBorder="1" applyAlignment="1">
      <alignment horizontal="right" vertical="center"/>
    </xf>
    <xf numFmtId="0" fontId="2" fillId="2" borderId="1" xfId="1" applyFill="1" applyBorder="1"/>
    <xf numFmtId="0" fontId="2" fillId="0" borderId="1" xfId="1" applyBorder="1" applyAlignment="1">
      <alignment horizontal="left"/>
    </xf>
    <xf numFmtId="0" fontId="4" fillId="7" borderId="20" xfId="9" applyFont="1" applyFill="1" applyBorder="1"/>
    <xf numFmtId="3" fontId="4" fillId="7" borderId="15" xfId="9" applyNumberFormat="1" applyFont="1" applyFill="1" applyBorder="1" applyAlignment="1">
      <alignment horizontal="right" vertical="center"/>
    </xf>
    <xf numFmtId="0" fontId="2" fillId="2" borderId="1" xfId="1" applyFill="1" applyBorder="1" applyAlignment="1">
      <alignment horizontal="left"/>
    </xf>
    <xf numFmtId="0" fontId="2" fillId="0" borderId="20" xfId="1" applyBorder="1" applyAlignment="1">
      <alignment horizontal="left" vertical="center"/>
    </xf>
    <xf numFmtId="0" fontId="2" fillId="0" borderId="23" xfId="1" applyBorder="1" applyAlignment="1">
      <alignment horizontal="left"/>
    </xf>
    <xf numFmtId="0" fontId="2" fillId="0" borderId="24" xfId="1" applyBorder="1" applyAlignment="1">
      <alignment horizontal="left"/>
    </xf>
    <xf numFmtId="0" fontId="4" fillId="0" borderId="0" xfId="9" applyFont="1"/>
    <xf numFmtId="0" fontId="2" fillId="0" borderId="19" xfId="9" applyBorder="1"/>
    <xf numFmtId="41" fontId="2" fillId="0" borderId="0" xfId="9" applyNumberFormat="1"/>
    <xf numFmtId="0" fontId="2" fillId="0" borderId="11" xfId="9" applyBorder="1"/>
    <xf numFmtId="0" fontId="2" fillId="0" borderId="11" xfId="9" applyBorder="1" applyAlignment="1">
      <alignment horizontal="center"/>
    </xf>
    <xf numFmtId="0" fontId="2" fillId="0" borderId="12" xfId="9" applyBorder="1"/>
    <xf numFmtId="0" fontId="6" fillId="0" borderId="1" xfId="1" applyFont="1" applyFill="1" applyBorder="1" applyAlignment="1">
      <alignment horizontal="left"/>
    </xf>
    <xf numFmtId="170" fontId="10" fillId="0" borderId="1" xfId="5" applyNumberFormat="1" applyFont="1" applyFill="1" applyBorder="1"/>
    <xf numFmtId="0" fontId="10" fillId="0" borderId="1" xfId="5" applyFont="1" applyFill="1" applyBorder="1"/>
    <xf numFmtId="171" fontId="2" fillId="0" borderId="0" xfId="15" applyNumberFormat="1" applyFont="1"/>
    <xf numFmtId="0" fontId="10" fillId="0" borderId="0" xfId="5" applyFont="1" applyFill="1"/>
    <xf numFmtId="171" fontId="2" fillId="0" borderId="0" xfId="15" applyNumberFormat="1" applyFont="1" applyFill="1"/>
    <xf numFmtId="3" fontId="2" fillId="0" borderId="0" xfId="5" applyNumberFormat="1" applyFont="1" applyFill="1"/>
    <xf numFmtId="0" fontId="4" fillId="0" borderId="0" xfId="5" applyFont="1" applyFill="1"/>
    <xf numFmtId="41" fontId="2" fillId="0" borderId="0" xfId="5" applyNumberFormat="1" applyFont="1" applyFill="1"/>
    <xf numFmtId="0" fontId="2" fillId="0" borderId="0" xfId="5" applyFont="1" applyFill="1" applyAlignment="1">
      <alignment wrapText="1"/>
    </xf>
    <xf numFmtId="1" fontId="2" fillId="0" borderId="0" xfId="9" applyNumberFormat="1"/>
    <xf numFmtId="3" fontId="2" fillId="0" borderId="1" xfId="1" applyNumberFormat="1" applyFill="1" applyBorder="1" applyAlignment="1">
      <alignment horizontal="right"/>
    </xf>
    <xf numFmtId="3" fontId="2" fillId="0" borderId="1" xfId="9" applyNumberFormat="1" applyFill="1" applyBorder="1" applyAlignment="1">
      <alignment horizontal="right" vertical="center"/>
    </xf>
    <xf numFmtId="0" fontId="31" fillId="0" borderId="0" xfId="1" applyFont="1"/>
    <xf numFmtId="170" fontId="10" fillId="13" borderId="1" xfId="5" applyNumberFormat="1" applyFont="1" applyFill="1" applyBorder="1"/>
    <xf numFmtId="0" fontId="10" fillId="13" borderId="1" xfId="5" applyFont="1" applyFill="1" applyBorder="1"/>
    <xf numFmtId="41" fontId="10" fillId="13" borderId="1" xfId="11" applyFont="1" applyFill="1" applyBorder="1"/>
    <xf numFmtId="171" fontId="2" fillId="0" borderId="0" xfId="5" applyNumberFormat="1" applyFont="1" applyFill="1"/>
    <xf numFmtId="41" fontId="10" fillId="0" borderId="0" xfId="11" applyFont="1" applyFill="1"/>
    <xf numFmtId="3" fontId="5" fillId="0" borderId="33" xfId="1" applyNumberFormat="1" applyFont="1" applyFill="1" applyBorder="1" applyAlignment="1">
      <alignment horizontal="right"/>
    </xf>
    <xf numFmtId="0" fontId="10" fillId="0" borderId="20" xfId="5" applyFont="1" applyFill="1" applyBorder="1"/>
    <xf numFmtId="3" fontId="2" fillId="0" borderId="0" xfId="0" applyNumberFormat="1" applyFont="1" applyFill="1" applyBorder="1" applyAlignment="1">
      <alignment horizontal="left" vertical="center"/>
    </xf>
    <xf numFmtId="171" fontId="2" fillId="0" borderId="0" xfId="9" applyNumberFormat="1"/>
    <xf numFmtId="3" fontId="5" fillId="20" borderId="1" xfId="1" applyNumberFormat="1" applyFont="1" applyFill="1" applyBorder="1" applyAlignment="1">
      <alignment horizontal="right"/>
    </xf>
    <xf numFmtId="3" fontId="5" fillId="20" borderId="16" xfId="1" applyNumberFormat="1" applyFont="1" applyFill="1" applyBorder="1" applyAlignment="1">
      <alignment horizontal="right"/>
    </xf>
    <xf numFmtId="171" fontId="2" fillId="12" borderId="0" xfId="15" applyNumberFormat="1" applyFont="1" applyFill="1"/>
    <xf numFmtId="41" fontId="10" fillId="0" borderId="0" xfId="11" applyFont="1" applyFill="1" applyBorder="1"/>
    <xf numFmtId="0" fontId="10" fillId="0" borderId="0" xfId="5" applyFont="1" applyFill="1" applyBorder="1"/>
    <xf numFmtId="172" fontId="2" fillId="0" borderId="0" xfId="5" applyNumberFormat="1" applyFont="1" applyFill="1"/>
    <xf numFmtId="171" fontId="32" fillId="0" borderId="0" xfId="15" applyNumberFormat="1" applyFont="1" applyFill="1"/>
    <xf numFmtId="171" fontId="2" fillId="13" borderId="0" xfId="5" applyNumberFormat="1" applyFont="1" applyFill="1"/>
    <xf numFmtId="41" fontId="26" fillId="11" borderId="1" xfId="11" applyFont="1" applyFill="1" applyBorder="1"/>
    <xf numFmtId="171" fontId="4" fillId="0" borderId="0" xfId="5" applyNumberFormat="1" applyFont="1" applyFill="1"/>
    <xf numFmtId="171" fontId="4" fillId="0" borderId="0" xfId="15" applyNumberFormat="1" applyFont="1" applyFill="1"/>
    <xf numFmtId="171" fontId="2" fillId="0" borderId="0" xfId="5" applyNumberFormat="1" applyFont="1"/>
    <xf numFmtId="1" fontId="2" fillId="0" borderId="0" xfId="5" applyNumberFormat="1" applyFont="1"/>
    <xf numFmtId="0" fontId="2" fillId="0" borderId="20" xfId="9" applyFill="1" applyBorder="1"/>
    <xf numFmtId="3" fontId="2" fillId="0" borderId="1" xfId="9" applyNumberFormat="1" applyFill="1" applyBorder="1"/>
    <xf numFmtId="3" fontId="2" fillId="0" borderId="16" xfId="1" applyNumberFormat="1" applyFont="1" applyFill="1" applyBorder="1" applyAlignment="1">
      <alignment horizontal="right"/>
    </xf>
    <xf numFmtId="167" fontId="8" fillId="0" borderId="1" xfId="2" applyNumberFormat="1" applyFont="1" applyBorder="1"/>
    <xf numFmtId="167" fontId="8" fillId="0" borderId="1" xfId="4" applyNumberFormat="1" applyFont="1" applyBorder="1"/>
    <xf numFmtId="167" fontId="8" fillId="0" borderId="16" xfId="2" applyNumberFormat="1" applyFont="1" applyBorder="1"/>
    <xf numFmtId="167" fontId="9" fillId="0" borderId="1" xfId="2" applyNumberFormat="1" applyFont="1" applyBorder="1"/>
    <xf numFmtId="41" fontId="8" fillId="0" borderId="1" xfId="11" applyFont="1" applyBorder="1" applyAlignment="1">
      <alignment horizontal="right" vertical="center"/>
    </xf>
    <xf numFmtId="3" fontId="32" fillId="0" borderId="0" xfId="9" applyNumberFormat="1" applyFont="1" applyFill="1"/>
    <xf numFmtId="170" fontId="10" fillId="13" borderId="20" xfId="5" applyNumberFormat="1" applyFont="1" applyFill="1" applyBorder="1"/>
    <xf numFmtId="0" fontId="10" fillId="13" borderId="1" xfId="1" applyFont="1" applyFill="1" applyBorder="1" applyAlignment="1">
      <alignment horizontal="left"/>
    </xf>
    <xf numFmtId="0" fontId="10" fillId="13" borderId="1" xfId="1" applyFont="1" applyFill="1" applyBorder="1"/>
    <xf numFmtId="171" fontId="2" fillId="0" borderId="0" xfId="15" applyNumberFormat="1" applyFont="1" applyFill="1" applyAlignment="1">
      <alignment horizontal="center"/>
    </xf>
    <xf numFmtId="170" fontId="10" fillId="20" borderId="20" xfId="5" applyNumberFormat="1" applyFont="1" applyFill="1" applyBorder="1"/>
    <xf numFmtId="0" fontId="10" fillId="20" borderId="1" xfId="1" applyFont="1" applyFill="1" applyBorder="1" applyAlignment="1">
      <alignment horizontal="left"/>
    </xf>
    <xf numFmtId="0" fontId="10" fillId="20" borderId="1" xfId="1" applyFont="1" applyFill="1" applyBorder="1"/>
    <xf numFmtId="41" fontId="10" fillId="20" borderId="1" xfId="11" applyFont="1" applyFill="1" applyBorder="1"/>
    <xf numFmtId="41" fontId="10" fillId="20" borderId="0" xfId="11" applyFont="1" applyFill="1"/>
    <xf numFmtId="3" fontId="2" fillId="12" borderId="1" xfId="1" applyNumberFormat="1" applyFill="1" applyBorder="1" applyAlignment="1">
      <alignment horizontal="right"/>
    </xf>
    <xf numFmtId="167" fontId="8" fillId="12" borderId="1" xfId="2" applyNumberFormat="1" applyFont="1" applyFill="1" applyBorder="1"/>
    <xf numFmtId="3" fontId="8" fillId="12" borderId="1" xfId="6" applyNumberFormat="1" applyFont="1" applyFill="1" applyBorder="1" applyAlignment="1">
      <alignment horizontal="right" vertical="center"/>
    </xf>
    <xf numFmtId="3" fontId="2" fillId="12" borderId="1" xfId="9" applyNumberFormat="1" applyFill="1" applyBorder="1" applyAlignment="1">
      <alignment horizontal="right" vertical="center"/>
    </xf>
    <xf numFmtId="167" fontId="8" fillId="12" borderId="1" xfId="4" applyNumberFormat="1" applyFont="1" applyFill="1" applyBorder="1"/>
    <xf numFmtId="167" fontId="8" fillId="12" borderId="16" xfId="2" applyNumberFormat="1" applyFont="1" applyFill="1" applyBorder="1"/>
    <xf numFmtId="167" fontId="9" fillId="12" borderId="1" xfId="2" applyNumberFormat="1" applyFont="1" applyFill="1" applyBorder="1"/>
    <xf numFmtId="41" fontId="8" fillId="12" borderId="1" xfId="11" applyFont="1" applyFill="1" applyBorder="1" applyAlignment="1">
      <alignment horizontal="right" vertical="center"/>
    </xf>
    <xf numFmtId="3" fontId="2" fillId="0" borderId="1" xfId="9" applyNumberFormat="1" applyFont="1" applyFill="1" applyBorder="1" applyAlignment="1">
      <alignment horizontal="right" vertical="center"/>
    </xf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8" xfId="9" applyFont="1" applyBorder="1" applyAlignment="1">
      <alignment horizontal="center"/>
    </xf>
    <xf numFmtId="0" fontId="4" fillId="0" borderId="0" xfId="9" applyFont="1" applyAlignment="1">
      <alignment horizontal="center"/>
    </xf>
    <xf numFmtId="0" fontId="4" fillId="0" borderId="19" xfId="9" applyFont="1" applyBorder="1" applyAlignment="1">
      <alignment horizontal="center"/>
    </xf>
    <xf numFmtId="0" fontId="4" fillId="0" borderId="10" xfId="9" applyFont="1" applyBorder="1" applyAlignment="1">
      <alignment horizontal="center"/>
    </xf>
    <xf numFmtId="0" fontId="4" fillId="0" borderId="11" xfId="9" applyFont="1" applyBorder="1" applyAlignment="1">
      <alignment horizontal="center"/>
    </xf>
    <xf numFmtId="0" fontId="4" fillId="0" borderId="12" xfId="9" applyFont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12" fillId="6" borderId="16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 wrapText="1"/>
    </xf>
    <xf numFmtId="0" fontId="7" fillId="0" borderId="38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</cellXfs>
  <cellStyles count="16">
    <cellStyle name="Millares [0]" xfId="11" builtinId="6"/>
    <cellStyle name="Millares [0] 2" xfId="12" xr:uid="{00000000-0005-0000-0000-000002000000}"/>
    <cellStyle name="Millares [0] 3" xfId="14" xr:uid="{00000000-0005-0000-0000-000003000000}"/>
    <cellStyle name="Millares 2" xfId="2" xr:uid="{00000000-0005-0000-0000-000004000000}"/>
    <cellStyle name="Millares 2 2" xfId="10" xr:uid="{00000000-0005-0000-0000-000005000000}"/>
    <cellStyle name="Millares 3" xfId="4" xr:uid="{00000000-0005-0000-0000-000006000000}"/>
    <cellStyle name="Millares 4" xfId="6" xr:uid="{00000000-0005-0000-0000-000007000000}"/>
    <cellStyle name="Millares 4 2" xfId="8" xr:uid="{00000000-0005-0000-0000-000008000000}"/>
    <cellStyle name="Moneda" xfId="15" builtinId="4"/>
    <cellStyle name="Moneda [0] 2" xfId="13" xr:uid="{00000000-0005-0000-0000-000009000000}"/>
    <cellStyle name="Normal" xfId="0" builtinId="0"/>
    <cellStyle name="Normal 2" xfId="1" xr:uid="{00000000-0005-0000-0000-00000B000000}"/>
    <cellStyle name="Normal 3" xfId="5" xr:uid="{00000000-0005-0000-0000-00000C000000}"/>
    <cellStyle name="Normal 3 2" xfId="9" xr:uid="{00000000-0005-0000-0000-00000D000000}"/>
    <cellStyle name="Normal 4" xfId="7" xr:uid="{00000000-0005-0000-0000-00000E000000}"/>
    <cellStyle name="Porcentaje 2" xfId="3" xr:uid="{00000000-0005-0000-0000-00000F000000}"/>
  </cellStyles>
  <dxfs count="0"/>
  <tableStyles count="0" defaultTableStyle="TableStyleMedium2" defaultPivotStyle="PivotStyleLight16"/>
  <colors>
    <mruColors>
      <color rgb="FFE7FFE7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237A96C3-2685-4147-9C88-52CAAD41674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41717A2E-F6EA-483C-A393-536F8EA23F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CE9B1676-6251-4A9E-85BC-A8ABF83B76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7ABA06BC-6BEB-4B56-B7F3-8C884BD78A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452439</xdr:colOff>
      <xdr:row>0</xdr:row>
      <xdr:rowOff>59531</xdr:rowOff>
    </xdr:from>
    <xdr:ext cx="857249" cy="821531"/>
    <xdr:pic>
      <xdr:nvPicPr>
        <xdr:cNvPr id="2" name="Imagen 1">
          <a:extLst>
            <a:ext uri="{FF2B5EF4-FFF2-40B4-BE49-F238E27FC236}">
              <a16:creationId xmlns:a16="http://schemas.microsoft.com/office/drawing/2014/main" id="{06786860-26A9-4E93-B7FF-760738EF6C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1"/>
  <sheetViews>
    <sheetView zoomScale="70" zoomScaleNormal="70" zoomScaleSheetLayoutView="30" workbookViewId="0">
      <selection activeCell="G91" sqref="G91"/>
    </sheetView>
  </sheetViews>
  <sheetFormatPr baseColWidth="10" defaultRowHeight="12.75" x14ac:dyDescent="0.2"/>
  <cols>
    <col min="1" max="1" width="12.625" style="109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2" x14ac:dyDescent="0.2">
      <c r="A2" s="227"/>
      <c r="B2" s="659" t="s">
        <v>0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1"/>
      <c r="U2" s="12"/>
    </row>
    <row r="3" spans="1:22" x14ac:dyDescent="0.2">
      <c r="A3" s="227"/>
      <c r="B3" s="659" t="s">
        <v>168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1"/>
      <c r="U3" s="12"/>
    </row>
    <row r="4" spans="1:22" ht="13.5" thickBot="1" x14ac:dyDescent="0.25">
      <c r="A4" s="227"/>
      <c r="B4" s="662" t="s">
        <v>98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4"/>
      <c r="U4" s="12"/>
    </row>
    <row r="5" spans="1:22" x14ac:dyDescent="0.2">
      <c r="A5" s="227"/>
      <c r="B5" s="231" t="s">
        <v>99</v>
      </c>
      <c r="C5" s="231" t="s">
        <v>100</v>
      </c>
      <c r="D5" s="232"/>
      <c r="E5" s="233" t="s">
        <v>101</v>
      </c>
      <c r="F5" s="232" t="s">
        <v>102</v>
      </c>
      <c r="G5" s="233" t="s">
        <v>103</v>
      </c>
      <c r="H5" s="232" t="s">
        <v>104</v>
      </c>
      <c r="I5" s="233" t="s">
        <v>105</v>
      </c>
      <c r="J5" s="232" t="s">
        <v>106</v>
      </c>
      <c r="K5" s="233" t="s">
        <v>107</v>
      </c>
      <c r="L5" s="232" t="s">
        <v>108</v>
      </c>
      <c r="M5" s="233" t="s">
        <v>109</v>
      </c>
      <c r="N5" s="232" t="s">
        <v>110</v>
      </c>
      <c r="O5" s="233" t="s">
        <v>111</v>
      </c>
      <c r="P5" s="232" t="s">
        <v>112</v>
      </c>
      <c r="Q5" s="233" t="s">
        <v>113</v>
      </c>
      <c r="R5" s="232" t="s">
        <v>114</v>
      </c>
      <c r="S5" s="233" t="s">
        <v>115</v>
      </c>
      <c r="T5" s="232" t="s">
        <v>116</v>
      </c>
    </row>
    <row r="6" spans="1:22" ht="13.5" thickBot="1" x14ac:dyDescent="0.25">
      <c r="A6" s="227"/>
      <c r="B6" s="234"/>
      <c r="C6" s="235" t="s">
        <v>3</v>
      </c>
      <c r="D6" s="236"/>
      <c r="E6" s="237"/>
      <c r="F6" s="236" t="s">
        <v>117</v>
      </c>
      <c r="G6" s="238" t="s">
        <v>118</v>
      </c>
      <c r="H6" s="239"/>
      <c r="I6" s="240"/>
      <c r="J6" s="239"/>
      <c r="K6" s="240"/>
      <c r="L6" s="239"/>
      <c r="M6" s="240"/>
      <c r="N6" s="239"/>
      <c r="O6" s="240"/>
      <c r="P6" s="239"/>
      <c r="Q6" s="240"/>
      <c r="R6" s="239"/>
      <c r="S6" s="240"/>
      <c r="T6" s="239"/>
    </row>
    <row r="7" spans="1:22" x14ac:dyDescent="0.2">
      <c r="A7" s="227"/>
      <c r="B7" s="241"/>
      <c r="C7" s="242"/>
      <c r="D7" s="243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4"/>
    </row>
    <row r="8" spans="1:22" x14ac:dyDescent="0.2">
      <c r="A8" s="227"/>
      <c r="B8" s="245" t="s">
        <v>119</v>
      </c>
      <c r="C8" s="246">
        <v>1155126065</v>
      </c>
      <c r="D8" s="247"/>
      <c r="E8" s="248"/>
      <c r="F8" s="248"/>
      <c r="G8" s="249">
        <f>E8-F8+C8</f>
        <v>1155126065</v>
      </c>
      <c r="H8" s="248">
        <v>165126065</v>
      </c>
      <c r="I8" s="248">
        <v>90000000</v>
      </c>
      <c r="J8" s="248">
        <v>90000000</v>
      </c>
      <c r="K8" s="248">
        <v>90000000</v>
      </c>
      <c r="L8" s="248">
        <v>90000000</v>
      </c>
      <c r="M8" s="248">
        <v>90000000</v>
      </c>
      <c r="N8" s="248">
        <v>90000000</v>
      </c>
      <c r="O8" s="248">
        <v>90000000</v>
      </c>
      <c r="P8" s="248">
        <v>90000000</v>
      </c>
      <c r="Q8" s="248">
        <v>90000000</v>
      </c>
      <c r="R8" s="248">
        <v>90000000</v>
      </c>
      <c r="S8" s="248">
        <v>90000000</v>
      </c>
      <c r="T8" s="250">
        <f>H8+I8+J8+K8+L8+M8+N8+O8+P8+Q8+R8+S8</f>
        <v>1155126065</v>
      </c>
      <c r="U8" s="26">
        <f>G8-T8</f>
        <v>0</v>
      </c>
    </row>
    <row r="9" spans="1:22" x14ac:dyDescent="0.2">
      <c r="A9" s="227"/>
      <c r="B9" s="245" t="s">
        <v>120</v>
      </c>
      <c r="C9" s="251">
        <v>0</v>
      </c>
      <c r="D9" s="247"/>
      <c r="E9" s="252"/>
      <c r="F9" s="248">
        <v>0</v>
      </c>
      <c r="G9" s="248">
        <f>E9-F9</f>
        <v>0</v>
      </c>
      <c r="H9" s="248">
        <f t="shared" ref="H9:S12" si="0">F9-G9</f>
        <v>0</v>
      </c>
      <c r="I9" s="248">
        <f t="shared" si="0"/>
        <v>0</v>
      </c>
      <c r="J9" s="248">
        <f t="shared" si="0"/>
        <v>0</v>
      </c>
      <c r="K9" s="248">
        <f t="shared" si="0"/>
        <v>0</v>
      </c>
      <c r="L9" s="248">
        <f t="shared" si="0"/>
        <v>0</v>
      </c>
      <c r="M9" s="248">
        <f t="shared" si="0"/>
        <v>0</v>
      </c>
      <c r="N9" s="248">
        <f t="shared" si="0"/>
        <v>0</v>
      </c>
      <c r="O9" s="248">
        <f t="shared" si="0"/>
        <v>0</v>
      </c>
      <c r="P9" s="248">
        <f t="shared" si="0"/>
        <v>0</v>
      </c>
      <c r="Q9" s="248">
        <f t="shared" si="0"/>
        <v>0</v>
      </c>
      <c r="R9" s="248">
        <f t="shared" si="0"/>
        <v>0</v>
      </c>
      <c r="S9" s="248">
        <f t="shared" si="0"/>
        <v>0</v>
      </c>
      <c r="T9" s="253">
        <f>H9+I9+J9+K9+L9+M9+N9+O9+P9+Q9+R9+S9</f>
        <v>0</v>
      </c>
    </row>
    <row r="10" spans="1:22" x14ac:dyDescent="0.2">
      <c r="A10" s="227"/>
      <c r="B10" s="245" t="s">
        <v>121</v>
      </c>
      <c r="C10" s="251">
        <v>0</v>
      </c>
      <c r="D10" s="247"/>
      <c r="E10" s="252"/>
      <c r="F10" s="248">
        <v>0</v>
      </c>
      <c r="G10" s="248">
        <f>E10-F10</f>
        <v>0</v>
      </c>
      <c r="H10" s="248">
        <f t="shared" si="0"/>
        <v>0</v>
      </c>
      <c r="I10" s="248">
        <f t="shared" si="0"/>
        <v>0</v>
      </c>
      <c r="J10" s="248">
        <f t="shared" si="0"/>
        <v>0</v>
      </c>
      <c r="K10" s="248">
        <f t="shared" si="0"/>
        <v>0</v>
      </c>
      <c r="L10" s="248">
        <f t="shared" si="0"/>
        <v>0</v>
      </c>
      <c r="M10" s="248">
        <f t="shared" si="0"/>
        <v>0</v>
      </c>
      <c r="N10" s="248">
        <f t="shared" si="0"/>
        <v>0</v>
      </c>
      <c r="O10" s="248">
        <f t="shared" si="0"/>
        <v>0</v>
      </c>
      <c r="P10" s="248">
        <f t="shared" si="0"/>
        <v>0</v>
      </c>
      <c r="Q10" s="248">
        <f t="shared" si="0"/>
        <v>0</v>
      </c>
      <c r="R10" s="248">
        <f t="shared" si="0"/>
        <v>0</v>
      </c>
      <c r="S10" s="248">
        <f t="shared" si="0"/>
        <v>0</v>
      </c>
      <c r="T10" s="253">
        <f>H10+I10+J10+K10+L10+M10+N10+O10+P10+Q10+R10+S10</f>
        <v>0</v>
      </c>
    </row>
    <row r="11" spans="1:22" x14ac:dyDescent="0.2">
      <c r="A11" s="227"/>
      <c r="B11" s="245" t="s">
        <v>122</v>
      </c>
      <c r="C11" s="251">
        <v>0</v>
      </c>
      <c r="D11" s="247"/>
      <c r="E11" s="252"/>
      <c r="F11" s="248">
        <v>0</v>
      </c>
      <c r="G11" s="248">
        <f>E11-F11</f>
        <v>0</v>
      </c>
      <c r="H11" s="248">
        <f t="shared" si="0"/>
        <v>0</v>
      </c>
      <c r="I11" s="248">
        <f t="shared" si="0"/>
        <v>0</v>
      </c>
      <c r="J11" s="248">
        <f t="shared" si="0"/>
        <v>0</v>
      </c>
      <c r="K11" s="248">
        <f t="shared" si="0"/>
        <v>0</v>
      </c>
      <c r="L11" s="248">
        <f t="shared" si="0"/>
        <v>0</v>
      </c>
      <c r="M11" s="248">
        <f t="shared" si="0"/>
        <v>0</v>
      </c>
      <c r="N11" s="248">
        <f t="shared" si="0"/>
        <v>0</v>
      </c>
      <c r="O11" s="248">
        <f t="shared" si="0"/>
        <v>0</v>
      </c>
      <c r="P11" s="248">
        <f t="shared" si="0"/>
        <v>0</v>
      </c>
      <c r="Q11" s="248">
        <f t="shared" si="0"/>
        <v>0</v>
      </c>
      <c r="R11" s="248">
        <f t="shared" si="0"/>
        <v>0</v>
      </c>
      <c r="S11" s="248">
        <f t="shared" si="0"/>
        <v>0</v>
      </c>
      <c r="T11" s="253">
        <f>H11+I11+J11+K11+L11+M11+N11+O11+P11+Q11+R11+S11</f>
        <v>0</v>
      </c>
    </row>
    <row r="12" spans="1:22" x14ac:dyDescent="0.2">
      <c r="A12" s="227"/>
      <c r="B12" s="245" t="s">
        <v>123</v>
      </c>
      <c r="C12" s="251">
        <v>0</v>
      </c>
      <c r="D12" s="247"/>
      <c r="E12" s="252"/>
      <c r="F12" s="248">
        <v>0</v>
      </c>
      <c r="G12" s="248">
        <f>E12-F12</f>
        <v>0</v>
      </c>
      <c r="H12" s="248">
        <f t="shared" si="0"/>
        <v>0</v>
      </c>
      <c r="I12" s="248">
        <f t="shared" si="0"/>
        <v>0</v>
      </c>
      <c r="J12" s="248">
        <f t="shared" si="0"/>
        <v>0</v>
      </c>
      <c r="K12" s="248">
        <f t="shared" si="0"/>
        <v>0</v>
      </c>
      <c r="L12" s="248">
        <f t="shared" si="0"/>
        <v>0</v>
      </c>
      <c r="M12" s="248">
        <f t="shared" si="0"/>
        <v>0</v>
      </c>
      <c r="N12" s="248">
        <f t="shared" si="0"/>
        <v>0</v>
      </c>
      <c r="O12" s="248">
        <f t="shared" si="0"/>
        <v>0</v>
      </c>
      <c r="P12" s="248">
        <f t="shared" si="0"/>
        <v>0</v>
      </c>
      <c r="Q12" s="248">
        <f t="shared" si="0"/>
        <v>0</v>
      </c>
      <c r="R12" s="248">
        <f t="shared" si="0"/>
        <v>0</v>
      </c>
      <c r="S12" s="248">
        <f t="shared" si="0"/>
        <v>0</v>
      </c>
      <c r="T12" s="253">
        <f>H12+I12+J12+K12+L12+M12+N12+O12+P12+Q12+R12+S12</f>
        <v>0</v>
      </c>
    </row>
    <row r="13" spans="1:22" x14ac:dyDescent="0.2">
      <c r="A13" s="227"/>
      <c r="B13" s="254" t="s">
        <v>140</v>
      </c>
      <c r="C13" s="246">
        <f>+C8+C9+C10+C11</f>
        <v>1155126065</v>
      </c>
      <c r="D13" s="247"/>
      <c r="E13" s="248"/>
      <c r="F13" s="248">
        <v>0</v>
      </c>
      <c r="G13" s="249">
        <f>G12+G11+G10+G9+G8</f>
        <v>1155126065</v>
      </c>
      <c r="H13" s="248">
        <f>H8+H11+H12</f>
        <v>165126065</v>
      </c>
      <c r="I13" s="248">
        <f>I8+I11+I12</f>
        <v>90000000</v>
      </c>
      <c r="J13" s="248">
        <f>J8+J11+J12</f>
        <v>90000000</v>
      </c>
      <c r="K13" s="248">
        <f>K8+K11+K12</f>
        <v>90000000</v>
      </c>
      <c r="L13" s="248">
        <f>L8+L11+L12</f>
        <v>90000000</v>
      </c>
      <c r="M13" s="248">
        <f>M8+M9+M10+M11+M12</f>
        <v>90000000</v>
      </c>
      <c r="N13" s="248">
        <f t="shared" ref="N13:T13" si="1">N8+N9+N10+N11+N12</f>
        <v>90000000</v>
      </c>
      <c r="O13" s="248">
        <f t="shared" si="1"/>
        <v>90000000</v>
      </c>
      <c r="P13" s="248">
        <f t="shared" si="1"/>
        <v>90000000</v>
      </c>
      <c r="Q13" s="248">
        <f t="shared" si="1"/>
        <v>90000000</v>
      </c>
      <c r="R13" s="248">
        <f t="shared" si="1"/>
        <v>90000000</v>
      </c>
      <c r="S13" s="249">
        <f t="shared" si="1"/>
        <v>90000000</v>
      </c>
      <c r="T13" s="250">
        <f t="shared" si="1"/>
        <v>1155126065</v>
      </c>
      <c r="V13" s="26"/>
    </row>
    <row r="14" spans="1:22" x14ac:dyDescent="0.2">
      <c r="A14" s="227"/>
      <c r="B14" s="245" t="s">
        <v>124</v>
      </c>
      <c r="C14" s="251">
        <v>0</v>
      </c>
      <c r="D14" s="247"/>
      <c r="E14" s="248"/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53">
        <v>0</v>
      </c>
      <c r="V14" s="26"/>
    </row>
    <row r="15" spans="1:22" x14ac:dyDescent="0.2">
      <c r="A15" s="227"/>
      <c r="B15" s="245" t="s">
        <v>125</v>
      </c>
      <c r="C15" s="251">
        <v>0</v>
      </c>
      <c r="D15" s="247"/>
      <c r="E15" s="248"/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53">
        <v>0</v>
      </c>
      <c r="V15" s="26"/>
    </row>
    <row r="16" spans="1:22" x14ac:dyDescent="0.2">
      <c r="A16" s="227"/>
      <c r="B16" s="254" t="s">
        <v>126</v>
      </c>
      <c r="C16" s="246">
        <f>+C13</f>
        <v>1155126065</v>
      </c>
      <c r="D16" s="247"/>
      <c r="E16" s="255">
        <f>E8+E9+E10+E11+E12</f>
        <v>0</v>
      </c>
      <c r="F16" s="248">
        <v>0</v>
      </c>
      <c r="G16" s="256">
        <f>+G13</f>
        <v>1155126065</v>
      </c>
      <c r="H16" s="255">
        <f>H8+H11+H12</f>
        <v>165126065</v>
      </c>
      <c r="I16" s="255">
        <f>I8+I11+I12</f>
        <v>90000000</v>
      </c>
      <c r="J16" s="255">
        <f t="shared" ref="J16:R16" si="2">+J13</f>
        <v>90000000</v>
      </c>
      <c r="K16" s="255">
        <f t="shared" si="2"/>
        <v>90000000</v>
      </c>
      <c r="L16" s="255">
        <f t="shared" si="2"/>
        <v>90000000</v>
      </c>
      <c r="M16" s="255">
        <f t="shared" si="2"/>
        <v>90000000</v>
      </c>
      <c r="N16" s="255">
        <f t="shared" si="2"/>
        <v>90000000</v>
      </c>
      <c r="O16" s="255">
        <f t="shared" si="2"/>
        <v>90000000</v>
      </c>
      <c r="P16" s="255">
        <f t="shared" si="2"/>
        <v>90000000</v>
      </c>
      <c r="Q16" s="255">
        <f t="shared" si="2"/>
        <v>90000000</v>
      </c>
      <c r="R16" s="255">
        <f t="shared" si="2"/>
        <v>90000000</v>
      </c>
      <c r="S16" s="256">
        <f>S13</f>
        <v>90000000</v>
      </c>
      <c r="T16" s="257">
        <f>H16+I16+J16+K16+L16+M16+N16+O16+P16+Q16+R16+S16</f>
        <v>1155126065</v>
      </c>
    </row>
    <row r="17" spans="1:22" ht="13.5" thickBot="1" x14ac:dyDescent="0.25">
      <c r="A17" s="227"/>
      <c r="B17" s="234"/>
      <c r="C17" s="258"/>
      <c r="D17" s="259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1"/>
    </row>
    <row r="18" spans="1:22" ht="8.25" customHeight="1" x14ac:dyDescent="0.2">
      <c r="A18" s="227"/>
      <c r="B18" s="262"/>
      <c r="C18" s="263"/>
      <c r="D18" s="264"/>
      <c r="E18" s="263"/>
      <c r="F18" s="263"/>
      <c r="G18" s="263"/>
      <c r="H18" s="263"/>
      <c r="I18" s="263"/>
      <c r="J18" s="265"/>
      <c r="K18" s="265"/>
      <c r="L18" s="265"/>
      <c r="M18" s="265"/>
      <c r="N18" s="265"/>
      <c r="O18" s="265"/>
      <c r="P18" s="263"/>
      <c r="Q18" s="263"/>
      <c r="R18" s="263"/>
      <c r="S18" s="263"/>
      <c r="T18" s="266" t="s">
        <v>117</v>
      </c>
      <c r="V18" s="26"/>
    </row>
    <row r="19" spans="1:22" x14ac:dyDescent="0.2">
      <c r="A19" s="227"/>
      <c r="B19" s="262"/>
      <c r="C19" s="263"/>
      <c r="D19" s="264"/>
      <c r="E19" s="263"/>
      <c r="F19" s="267"/>
      <c r="G19" s="263"/>
      <c r="H19" s="263"/>
      <c r="I19" s="263"/>
      <c r="J19" s="265" t="s">
        <v>169</v>
      </c>
      <c r="K19" s="265"/>
      <c r="L19" s="265"/>
      <c r="M19" s="265"/>
      <c r="N19" s="265"/>
      <c r="O19" s="268"/>
      <c r="P19" s="263"/>
      <c r="Q19" s="263"/>
      <c r="R19" s="263"/>
      <c r="S19" s="263"/>
      <c r="T19" s="266"/>
      <c r="V19" s="26"/>
    </row>
    <row r="20" spans="1:22" ht="9.75" customHeight="1" thickBot="1" x14ac:dyDescent="0.25">
      <c r="A20" s="227"/>
      <c r="B20" s="264"/>
      <c r="C20" s="263"/>
      <c r="D20" s="264"/>
      <c r="E20" s="263"/>
      <c r="F20" s="263"/>
      <c r="G20" s="263"/>
      <c r="H20" s="263"/>
      <c r="I20" s="263"/>
      <c r="J20" s="265"/>
      <c r="K20" s="265"/>
      <c r="L20" s="265"/>
      <c r="M20" s="265"/>
      <c r="N20" s="265"/>
      <c r="O20" s="265"/>
      <c r="P20" s="263"/>
      <c r="Q20" s="263"/>
      <c r="R20" s="263"/>
      <c r="S20" s="263"/>
      <c r="T20" s="266"/>
    </row>
    <row r="21" spans="1:22" x14ac:dyDescent="0.2">
      <c r="A21" s="227"/>
      <c r="B21" s="231" t="s">
        <v>1</v>
      </c>
      <c r="C21" s="269" t="s">
        <v>127</v>
      </c>
      <c r="D21" s="270" t="s">
        <v>101</v>
      </c>
      <c r="E21" s="271" t="s">
        <v>2</v>
      </c>
      <c r="F21" s="270" t="s">
        <v>128</v>
      </c>
      <c r="G21" s="271" t="s">
        <v>129</v>
      </c>
      <c r="H21" s="270" t="s">
        <v>104</v>
      </c>
      <c r="I21" s="270" t="s">
        <v>105</v>
      </c>
      <c r="J21" s="271" t="s">
        <v>106</v>
      </c>
      <c r="K21" s="270" t="s">
        <v>107</v>
      </c>
      <c r="L21" s="271" t="s">
        <v>108</v>
      </c>
      <c r="M21" s="270" t="s">
        <v>109</v>
      </c>
      <c r="N21" s="271" t="s">
        <v>110</v>
      </c>
      <c r="O21" s="270" t="s">
        <v>111</v>
      </c>
      <c r="P21" s="271" t="s">
        <v>112</v>
      </c>
      <c r="Q21" s="270" t="s">
        <v>113</v>
      </c>
      <c r="R21" s="271" t="s">
        <v>114</v>
      </c>
      <c r="S21" s="270" t="s">
        <v>115</v>
      </c>
      <c r="T21" s="272" t="s">
        <v>116</v>
      </c>
      <c r="V21" s="26"/>
    </row>
    <row r="22" spans="1:22" ht="13.5" thickBot="1" x14ac:dyDescent="0.25">
      <c r="A22" s="227"/>
      <c r="B22" s="234"/>
      <c r="C22" s="273" t="s">
        <v>3</v>
      </c>
      <c r="D22" s="274"/>
      <c r="E22" s="260"/>
      <c r="F22" s="275"/>
      <c r="G22" s="276" t="s">
        <v>118</v>
      </c>
      <c r="H22" s="275"/>
      <c r="I22" s="275"/>
      <c r="J22" s="260"/>
      <c r="K22" s="275"/>
      <c r="L22" s="260"/>
      <c r="M22" s="275"/>
      <c r="N22" s="260"/>
      <c r="O22" s="275"/>
      <c r="P22" s="260"/>
      <c r="Q22" s="275"/>
      <c r="R22" s="260"/>
      <c r="S22" s="275"/>
      <c r="T22" s="261"/>
      <c r="V22" s="26"/>
    </row>
    <row r="23" spans="1:22" x14ac:dyDescent="0.2">
      <c r="A23" s="277" t="s">
        <v>4</v>
      </c>
      <c r="B23" s="278" t="s">
        <v>5</v>
      </c>
      <c r="C23" s="279">
        <f t="shared" ref="C23:T23" si="3">SUM(C24:C31)</f>
        <v>650377324</v>
      </c>
      <c r="D23" s="280">
        <f t="shared" si="3"/>
        <v>0</v>
      </c>
      <c r="E23" s="281">
        <f t="shared" si="3"/>
        <v>0</v>
      </c>
      <c r="F23" s="281">
        <f t="shared" si="3"/>
        <v>0</v>
      </c>
      <c r="G23" s="281">
        <f t="shared" si="3"/>
        <v>650377324</v>
      </c>
      <c r="H23" s="281">
        <f t="shared" si="3"/>
        <v>44764777</v>
      </c>
      <c r="I23" s="281">
        <f t="shared" si="3"/>
        <v>43764777</v>
      </c>
      <c r="J23" s="281">
        <f t="shared" si="3"/>
        <v>40864777</v>
      </c>
      <c r="K23" s="281">
        <f t="shared" si="3"/>
        <v>41814777</v>
      </c>
      <c r="L23" s="281">
        <f t="shared" si="3"/>
        <v>42014777</v>
      </c>
      <c r="M23" s="282">
        <f t="shared" si="3"/>
        <v>51442513</v>
      </c>
      <c r="N23" s="281">
        <f t="shared" si="3"/>
        <v>70064777</v>
      </c>
      <c r="O23" s="281">
        <f t="shared" si="3"/>
        <v>46414777</v>
      </c>
      <c r="P23" s="281">
        <f t="shared" si="3"/>
        <v>40864777</v>
      </c>
      <c r="Q23" s="281">
        <f t="shared" si="3"/>
        <v>55264777</v>
      </c>
      <c r="R23" s="281">
        <f t="shared" si="3"/>
        <v>52264777</v>
      </c>
      <c r="S23" s="281">
        <f t="shared" si="3"/>
        <v>120837041</v>
      </c>
      <c r="T23" s="279">
        <f t="shared" si="3"/>
        <v>650377324</v>
      </c>
      <c r="U23" s="26">
        <f>G23-T23</f>
        <v>0</v>
      </c>
    </row>
    <row r="24" spans="1:22" ht="14.25" x14ac:dyDescent="0.2">
      <c r="A24" s="283" t="s">
        <v>6</v>
      </c>
      <c r="B24" s="116" t="s">
        <v>7</v>
      </c>
      <c r="C24" s="284">
        <v>488231324</v>
      </c>
      <c r="D24" s="285"/>
      <c r="E24" s="117"/>
      <c r="F24" s="286"/>
      <c r="G24" s="117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287">
        <f>SUM(H24:S24)</f>
        <v>488231324</v>
      </c>
      <c r="U24" s="26">
        <f t="shared" ref="U24:U77" si="4">G24-T24</f>
        <v>0</v>
      </c>
    </row>
    <row r="25" spans="1:22" ht="14.25" x14ac:dyDescent="0.2">
      <c r="A25" s="283" t="s">
        <v>10</v>
      </c>
      <c r="B25" s="116" t="s">
        <v>11</v>
      </c>
      <c r="C25" s="284">
        <v>1246000</v>
      </c>
      <c r="D25" s="285"/>
      <c r="E25" s="117"/>
      <c r="F25" s="117"/>
      <c r="G25" s="117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287">
        <f t="shared" ref="T25:T35" si="6">SUM(H25:S25)</f>
        <v>1246000</v>
      </c>
      <c r="U25" s="26">
        <f t="shared" si="4"/>
        <v>0</v>
      </c>
    </row>
    <row r="26" spans="1:22" ht="14.25" x14ac:dyDescent="0.2">
      <c r="A26" s="283">
        <v>2020110104</v>
      </c>
      <c r="B26" s="116" t="s">
        <v>13</v>
      </c>
      <c r="C26" s="284">
        <v>900000</v>
      </c>
      <c r="D26" s="285"/>
      <c r="E26" s="117"/>
      <c r="F26" s="117"/>
      <c r="G26" s="117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287">
        <f t="shared" si="6"/>
        <v>900000</v>
      </c>
      <c r="U26" s="26">
        <f t="shared" si="4"/>
        <v>0</v>
      </c>
    </row>
    <row r="27" spans="1:22" ht="14.25" x14ac:dyDescent="0.2">
      <c r="A27" s="283" t="s">
        <v>14</v>
      </c>
      <c r="B27" s="116" t="s">
        <v>15</v>
      </c>
      <c r="C27" s="284">
        <v>17000000</v>
      </c>
      <c r="D27" s="285"/>
      <c r="E27" s="117"/>
      <c r="F27" s="117"/>
      <c r="G27" s="117">
        <f t="shared" si="5"/>
        <v>17000000</v>
      </c>
      <c r="H27" s="40">
        <v>0</v>
      </c>
      <c r="I27" s="288">
        <v>2900000</v>
      </c>
      <c r="J27" s="288">
        <v>0</v>
      </c>
      <c r="K27" s="288">
        <v>950000</v>
      </c>
      <c r="L27" s="288">
        <v>1150000</v>
      </c>
      <c r="M27" s="288">
        <v>2300000</v>
      </c>
      <c r="N27" s="288">
        <v>1600000</v>
      </c>
      <c r="O27" s="288">
        <v>3600000</v>
      </c>
      <c r="P27" s="288">
        <v>0</v>
      </c>
      <c r="Q27" s="288">
        <v>0</v>
      </c>
      <c r="R27" s="44">
        <v>4500000</v>
      </c>
      <c r="S27" s="288">
        <v>0</v>
      </c>
      <c r="T27" s="287">
        <f t="shared" si="6"/>
        <v>17000000</v>
      </c>
      <c r="U27" s="26">
        <f t="shared" si="4"/>
        <v>0</v>
      </c>
    </row>
    <row r="28" spans="1:22" ht="14.25" x14ac:dyDescent="0.2">
      <c r="A28" s="283" t="s">
        <v>16</v>
      </c>
      <c r="B28" s="116" t="s">
        <v>17</v>
      </c>
      <c r="C28" s="284">
        <v>24000000</v>
      </c>
      <c r="D28" s="285"/>
      <c r="E28" s="40"/>
      <c r="F28" s="117"/>
      <c r="G28" s="117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288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287">
        <f t="shared" si="6"/>
        <v>24000000</v>
      </c>
      <c r="U28" s="26">
        <f t="shared" si="4"/>
        <v>0</v>
      </c>
    </row>
    <row r="29" spans="1:22" ht="14.25" x14ac:dyDescent="0.2">
      <c r="A29" s="283" t="s">
        <v>18</v>
      </c>
      <c r="B29" s="116" t="s">
        <v>19</v>
      </c>
      <c r="C29" s="284">
        <v>28000000</v>
      </c>
      <c r="D29" s="285"/>
      <c r="E29" s="117"/>
      <c r="F29" s="40"/>
      <c r="G29" s="117">
        <f t="shared" si="5"/>
        <v>28000000</v>
      </c>
      <c r="H29" s="40">
        <v>1200000</v>
      </c>
      <c r="I29" s="289"/>
      <c r="J29" s="288"/>
      <c r="K29" s="288"/>
      <c r="L29" s="288"/>
      <c r="M29" s="288">
        <v>3000000</v>
      </c>
      <c r="N29" s="288">
        <v>1000000</v>
      </c>
      <c r="O29" s="288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287">
        <f t="shared" si="6"/>
        <v>28000000</v>
      </c>
      <c r="U29" s="26">
        <f t="shared" si="4"/>
        <v>0</v>
      </c>
    </row>
    <row r="30" spans="1:22" ht="14.25" x14ac:dyDescent="0.2">
      <c r="A30" s="283">
        <v>2020110109</v>
      </c>
      <c r="B30" s="116" t="s">
        <v>20</v>
      </c>
      <c r="C30" s="284">
        <v>36000000</v>
      </c>
      <c r="D30" s="285"/>
      <c r="E30" s="117"/>
      <c r="F30" s="40"/>
      <c r="G30" s="117">
        <f t="shared" si="5"/>
        <v>36000000</v>
      </c>
      <c r="H30" s="40">
        <v>1700000</v>
      </c>
      <c r="I30" s="289"/>
      <c r="J30" s="288"/>
      <c r="K30" s="288"/>
      <c r="L30" s="288"/>
      <c r="M30" s="288">
        <v>5277736</v>
      </c>
      <c r="N30" s="288">
        <v>2600000</v>
      </c>
      <c r="O30" s="288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287">
        <f>SUM(H30:S30)</f>
        <v>36000000</v>
      </c>
      <c r="U30" s="26">
        <f t="shared" si="4"/>
        <v>0</v>
      </c>
    </row>
    <row r="31" spans="1:22" ht="15" thickBot="1" x14ac:dyDescent="0.25">
      <c r="A31" s="283">
        <v>2020110108</v>
      </c>
      <c r="B31" s="116" t="s">
        <v>21</v>
      </c>
      <c r="C31" s="284">
        <v>55000000</v>
      </c>
      <c r="D31" s="285"/>
      <c r="E31" s="117"/>
      <c r="F31" s="117"/>
      <c r="G31" s="117">
        <f t="shared" si="5"/>
        <v>55000000</v>
      </c>
      <c r="H31" s="40">
        <v>1000000</v>
      </c>
      <c r="I31" s="290">
        <v>0</v>
      </c>
      <c r="J31" s="288">
        <v>0</v>
      </c>
      <c r="K31" s="288">
        <v>0</v>
      </c>
      <c r="L31" s="288">
        <v>0</v>
      </c>
      <c r="M31" s="288">
        <v>0</v>
      </c>
      <c r="N31" s="288"/>
      <c r="O31" s="288">
        <v>0</v>
      </c>
      <c r="P31" s="288">
        <v>0</v>
      </c>
      <c r="Q31" s="288">
        <v>0</v>
      </c>
      <c r="R31" s="288">
        <v>0</v>
      </c>
      <c r="S31" s="288">
        <v>54000000</v>
      </c>
      <c r="T31" s="287">
        <f t="shared" si="6"/>
        <v>55000000</v>
      </c>
      <c r="U31" s="26">
        <f t="shared" si="4"/>
        <v>0</v>
      </c>
    </row>
    <row r="32" spans="1:22" x14ac:dyDescent="0.2">
      <c r="A32" s="277">
        <v>20201102</v>
      </c>
      <c r="B32" s="278" t="s">
        <v>130</v>
      </c>
      <c r="C32" s="278">
        <f>SUM(C33:C35)</f>
        <v>20000000</v>
      </c>
      <c r="D32" s="278">
        <f>SUM(D33:D35)</f>
        <v>0</v>
      </c>
      <c r="E32" s="278">
        <f>SUM(E33:E35)</f>
        <v>0</v>
      </c>
      <c r="F32" s="278">
        <f>SUM(F33:F35)</f>
        <v>0</v>
      </c>
      <c r="G32" s="291">
        <f>SUM(G33:G35)</f>
        <v>20000000</v>
      </c>
      <c r="H32" s="291">
        <f t="shared" ref="H32:T32" si="7">SUM(H33:H35)</f>
        <v>20000000</v>
      </c>
      <c r="I32" s="291">
        <f t="shared" si="7"/>
        <v>0</v>
      </c>
      <c r="J32" s="291">
        <f t="shared" si="7"/>
        <v>0</v>
      </c>
      <c r="K32" s="291">
        <f t="shared" si="7"/>
        <v>0</v>
      </c>
      <c r="L32" s="291">
        <f t="shared" si="7"/>
        <v>0</v>
      </c>
      <c r="M32" s="291">
        <f t="shared" si="7"/>
        <v>0</v>
      </c>
      <c r="N32" s="291">
        <f t="shared" si="7"/>
        <v>0</v>
      </c>
      <c r="O32" s="291">
        <f t="shared" si="7"/>
        <v>0</v>
      </c>
      <c r="P32" s="291">
        <f t="shared" si="7"/>
        <v>0</v>
      </c>
      <c r="Q32" s="291">
        <f t="shared" si="7"/>
        <v>0</v>
      </c>
      <c r="R32" s="291">
        <f t="shared" si="7"/>
        <v>0</v>
      </c>
      <c r="S32" s="291">
        <f t="shared" si="7"/>
        <v>0</v>
      </c>
      <c r="T32" s="291">
        <f t="shared" si="7"/>
        <v>20000000</v>
      </c>
      <c r="U32" s="26">
        <f t="shared" si="4"/>
        <v>0</v>
      </c>
    </row>
    <row r="33" spans="1:21" ht="14.25" x14ac:dyDescent="0.2">
      <c r="A33" s="283" t="s">
        <v>24</v>
      </c>
      <c r="B33" s="116" t="s">
        <v>25</v>
      </c>
      <c r="C33" s="292">
        <v>20000000</v>
      </c>
      <c r="D33" s="285"/>
      <c r="E33" s="40"/>
      <c r="F33" s="117"/>
      <c r="G33" s="117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87">
        <f t="shared" si="6"/>
        <v>20000000</v>
      </c>
      <c r="U33" s="26">
        <f t="shared" si="4"/>
        <v>0</v>
      </c>
    </row>
    <row r="34" spans="1:21" x14ac:dyDescent="0.2">
      <c r="A34" s="283" t="s">
        <v>26</v>
      </c>
      <c r="B34" s="116" t="s">
        <v>27</v>
      </c>
      <c r="C34" s="293">
        <v>0</v>
      </c>
      <c r="D34" s="285"/>
      <c r="E34" s="117"/>
      <c r="F34" s="117"/>
      <c r="G34" s="117">
        <f>C34+D34+E34-F34</f>
        <v>0</v>
      </c>
      <c r="H34" s="117">
        <f t="shared" ref="H34:S35" si="8">D34+E34+F34-G34</f>
        <v>0</v>
      </c>
      <c r="I34" s="117">
        <f t="shared" si="8"/>
        <v>0</v>
      </c>
      <c r="J34" s="117">
        <f t="shared" si="8"/>
        <v>0</v>
      </c>
      <c r="K34" s="117">
        <f t="shared" si="8"/>
        <v>0</v>
      </c>
      <c r="L34" s="117">
        <f t="shared" si="8"/>
        <v>0</v>
      </c>
      <c r="M34" s="117">
        <f t="shared" si="8"/>
        <v>0</v>
      </c>
      <c r="N34" s="117">
        <f t="shared" si="8"/>
        <v>0</v>
      </c>
      <c r="O34" s="117">
        <f t="shared" si="8"/>
        <v>0</v>
      </c>
      <c r="P34" s="117">
        <f t="shared" si="8"/>
        <v>0</v>
      </c>
      <c r="Q34" s="117">
        <f t="shared" si="8"/>
        <v>0</v>
      </c>
      <c r="R34" s="117">
        <f t="shared" si="8"/>
        <v>0</v>
      </c>
      <c r="S34" s="117">
        <f t="shared" si="8"/>
        <v>0</v>
      </c>
      <c r="T34" s="287">
        <f t="shared" si="6"/>
        <v>0</v>
      </c>
      <c r="U34" s="26">
        <f t="shared" si="4"/>
        <v>0</v>
      </c>
    </row>
    <row r="35" spans="1:21" x14ac:dyDescent="0.2">
      <c r="A35" s="283" t="s">
        <v>28</v>
      </c>
      <c r="B35" s="118" t="s">
        <v>29</v>
      </c>
      <c r="C35" s="293">
        <v>0</v>
      </c>
      <c r="D35" s="285"/>
      <c r="E35" s="117"/>
      <c r="F35" s="117"/>
      <c r="G35" s="117">
        <f>C35+D35+E35-F35</f>
        <v>0</v>
      </c>
      <c r="H35" s="117">
        <f t="shared" si="8"/>
        <v>0</v>
      </c>
      <c r="I35" s="117">
        <f t="shared" si="8"/>
        <v>0</v>
      </c>
      <c r="J35" s="117">
        <f t="shared" si="8"/>
        <v>0</v>
      </c>
      <c r="K35" s="117">
        <f t="shared" si="8"/>
        <v>0</v>
      </c>
      <c r="L35" s="117">
        <f t="shared" si="8"/>
        <v>0</v>
      </c>
      <c r="M35" s="117">
        <f t="shared" si="8"/>
        <v>0</v>
      </c>
      <c r="N35" s="117">
        <f t="shared" si="8"/>
        <v>0</v>
      </c>
      <c r="O35" s="117">
        <f t="shared" si="8"/>
        <v>0</v>
      </c>
      <c r="P35" s="117">
        <f t="shared" si="8"/>
        <v>0</v>
      </c>
      <c r="Q35" s="117">
        <f t="shared" si="8"/>
        <v>0</v>
      </c>
      <c r="R35" s="117">
        <f t="shared" si="8"/>
        <v>0</v>
      </c>
      <c r="S35" s="117">
        <f t="shared" si="8"/>
        <v>0</v>
      </c>
      <c r="T35" s="287">
        <f t="shared" si="6"/>
        <v>0</v>
      </c>
      <c r="U35" s="26">
        <f t="shared" si="4"/>
        <v>0</v>
      </c>
    </row>
    <row r="36" spans="1:21" ht="24" customHeight="1" thickBot="1" x14ac:dyDescent="0.25">
      <c r="A36" s="227"/>
      <c r="B36" s="254" t="s">
        <v>131</v>
      </c>
      <c r="C36" s="294">
        <f>C37+C42</f>
        <v>149019000</v>
      </c>
      <c r="D36" s="280">
        <f>D37+D42</f>
        <v>0</v>
      </c>
      <c r="E36" s="281">
        <f>E37+E42+E58</f>
        <v>0</v>
      </c>
      <c r="F36" s="281">
        <f>F37+F42+F58</f>
        <v>0</v>
      </c>
      <c r="G36" s="281">
        <f>G37+G42</f>
        <v>149019000</v>
      </c>
      <c r="H36" s="281">
        <f t="shared" ref="H36:S36" si="9">H37+H42</f>
        <v>23101918</v>
      </c>
      <c r="I36" s="281">
        <f t="shared" si="9"/>
        <v>16301918</v>
      </c>
      <c r="J36" s="281">
        <f t="shared" si="9"/>
        <v>26701918</v>
      </c>
      <c r="K36" s="281">
        <f t="shared" si="9"/>
        <v>6468918</v>
      </c>
      <c r="L36" s="281">
        <f t="shared" si="9"/>
        <v>6469018</v>
      </c>
      <c r="M36" s="281">
        <f t="shared" si="9"/>
        <v>23719484</v>
      </c>
      <c r="N36" s="281">
        <f t="shared" si="9"/>
        <v>6418584</v>
      </c>
      <c r="O36" s="281">
        <f t="shared" si="9"/>
        <v>6418584</v>
      </c>
      <c r="P36" s="281">
        <f t="shared" si="9"/>
        <v>7466918</v>
      </c>
      <c r="Q36" s="281">
        <f t="shared" si="9"/>
        <v>7701918</v>
      </c>
      <c r="R36" s="281">
        <f t="shared" si="9"/>
        <v>8201918</v>
      </c>
      <c r="S36" s="281">
        <f t="shared" si="9"/>
        <v>9797902</v>
      </c>
      <c r="T36" s="294">
        <f>T42+T37</f>
        <v>149019000</v>
      </c>
      <c r="U36" s="26">
        <f t="shared" si="4"/>
        <v>0</v>
      </c>
    </row>
    <row r="37" spans="1:21" x14ac:dyDescent="0.2">
      <c r="A37" s="277">
        <v>20201201</v>
      </c>
      <c r="B37" s="278" t="s">
        <v>132</v>
      </c>
      <c r="C37" s="291">
        <f>SUM(C38:C41)</f>
        <v>21300000</v>
      </c>
      <c r="D37" s="278">
        <f>SUM(D38:D41)</f>
        <v>0</v>
      </c>
      <c r="E37" s="278">
        <f>SUM(E38:E41)</f>
        <v>0</v>
      </c>
      <c r="F37" s="278">
        <f>SUM(F38:F41)</f>
        <v>0</v>
      </c>
      <c r="G37" s="291">
        <f>SUM(G38:G41)</f>
        <v>21300000</v>
      </c>
      <c r="H37" s="291">
        <f t="shared" ref="H37:T37" si="10">SUM(H38:H41)</f>
        <v>14000000</v>
      </c>
      <c r="I37" s="291">
        <f t="shared" si="10"/>
        <v>6000000</v>
      </c>
      <c r="J37" s="291">
        <f t="shared" si="10"/>
        <v>0</v>
      </c>
      <c r="K37" s="291">
        <f t="shared" si="10"/>
        <v>0</v>
      </c>
      <c r="L37" s="291">
        <f t="shared" si="10"/>
        <v>0</v>
      </c>
      <c r="M37" s="291">
        <f t="shared" si="10"/>
        <v>0</v>
      </c>
      <c r="N37" s="291">
        <f t="shared" si="10"/>
        <v>0</v>
      </c>
      <c r="O37" s="291">
        <f t="shared" si="10"/>
        <v>0</v>
      </c>
      <c r="P37" s="291">
        <f t="shared" si="10"/>
        <v>0</v>
      </c>
      <c r="Q37" s="291">
        <f t="shared" si="10"/>
        <v>0</v>
      </c>
      <c r="R37" s="291">
        <f t="shared" si="10"/>
        <v>0</v>
      </c>
      <c r="S37" s="291">
        <f t="shared" si="10"/>
        <v>1300000</v>
      </c>
      <c r="T37" s="291">
        <f t="shared" si="10"/>
        <v>21300000</v>
      </c>
      <c r="U37" s="26">
        <f t="shared" si="4"/>
        <v>0</v>
      </c>
    </row>
    <row r="38" spans="1:21" ht="14.25" x14ac:dyDescent="0.2">
      <c r="A38" s="283" t="s">
        <v>32</v>
      </c>
      <c r="B38" s="118" t="s">
        <v>33</v>
      </c>
      <c r="C38" s="295">
        <v>6000000</v>
      </c>
      <c r="D38" s="285"/>
      <c r="E38" s="117"/>
      <c r="F38" s="117"/>
      <c r="G38" s="117">
        <f>C38+D38+E38-F38</f>
        <v>6000000</v>
      </c>
      <c r="H38" s="44">
        <v>6000000</v>
      </c>
      <c r="I38" s="289"/>
      <c r="J38" s="289"/>
      <c r="K38" s="289">
        <v>0</v>
      </c>
      <c r="L38" s="289">
        <v>0</v>
      </c>
      <c r="M38" s="289">
        <v>0</v>
      </c>
      <c r="N38" s="289">
        <v>0</v>
      </c>
      <c r="O38" s="289">
        <v>0</v>
      </c>
      <c r="P38" s="289">
        <v>0</v>
      </c>
      <c r="Q38" s="289">
        <v>0</v>
      </c>
      <c r="R38" s="289">
        <v>0</v>
      </c>
      <c r="S38" s="289">
        <v>0</v>
      </c>
      <c r="T38" s="287">
        <f t="shared" ref="T38:T63" si="11">SUM(H38:S38)</f>
        <v>6000000</v>
      </c>
      <c r="U38" s="26">
        <f t="shared" si="4"/>
        <v>0</v>
      </c>
    </row>
    <row r="39" spans="1:21" ht="14.25" x14ac:dyDescent="0.2">
      <c r="A39" s="283" t="s">
        <v>34</v>
      </c>
      <c r="B39" s="118" t="s">
        <v>35</v>
      </c>
      <c r="C39" s="295">
        <v>14000000</v>
      </c>
      <c r="D39" s="296"/>
      <c r="E39" s="117"/>
      <c r="F39" s="117"/>
      <c r="G39" s="117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287">
        <f t="shared" si="11"/>
        <v>14000000</v>
      </c>
      <c r="U39" s="26">
        <f t="shared" si="4"/>
        <v>0</v>
      </c>
    </row>
    <row r="40" spans="1:21" ht="14.25" x14ac:dyDescent="0.2">
      <c r="A40" s="283" t="s">
        <v>36</v>
      </c>
      <c r="B40" s="118" t="s">
        <v>37</v>
      </c>
      <c r="C40" s="295">
        <v>1300000</v>
      </c>
      <c r="D40" s="285"/>
      <c r="E40" s="117"/>
      <c r="F40" s="117"/>
      <c r="G40" s="117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287">
        <f t="shared" si="11"/>
        <v>1300000</v>
      </c>
      <c r="U40" s="26">
        <f t="shared" si="4"/>
        <v>0</v>
      </c>
    </row>
    <row r="41" spans="1:21" ht="14.25" x14ac:dyDescent="0.2">
      <c r="A41" s="283" t="s">
        <v>38</v>
      </c>
      <c r="B41" s="118" t="s">
        <v>39</v>
      </c>
      <c r="C41" s="295">
        <v>0</v>
      </c>
      <c r="D41" s="285">
        <v>0</v>
      </c>
      <c r="E41" s="117">
        <v>0</v>
      </c>
      <c r="F41" s="117">
        <v>0</v>
      </c>
      <c r="G41" s="117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287">
        <f t="shared" si="11"/>
        <v>0</v>
      </c>
      <c r="U41" s="26">
        <f t="shared" si="4"/>
        <v>0</v>
      </c>
    </row>
    <row r="42" spans="1:21" x14ac:dyDescent="0.2">
      <c r="A42" s="277" t="s">
        <v>40</v>
      </c>
      <c r="B42" s="297" t="s">
        <v>133</v>
      </c>
      <c r="C42" s="298">
        <f>SUM(C43:C58)</f>
        <v>127719000</v>
      </c>
      <c r="D42" s="297">
        <f>SUM(D43:D56)</f>
        <v>0</v>
      </c>
      <c r="E42" s="299">
        <f>SUM(E43:E57)</f>
        <v>0</v>
      </c>
      <c r="F42" s="299">
        <f>SUM(F43:F57)</f>
        <v>0</v>
      </c>
      <c r="G42" s="299">
        <f t="shared" ref="G42:L42" si="13">ROUND(SUM(G43:G58),0)</f>
        <v>127719000</v>
      </c>
      <c r="H42" s="299">
        <f t="shared" si="13"/>
        <v>9101918</v>
      </c>
      <c r="I42" s="299">
        <f t="shared" si="13"/>
        <v>10301918</v>
      </c>
      <c r="J42" s="299">
        <f t="shared" si="13"/>
        <v>26701918</v>
      </c>
      <c r="K42" s="299">
        <f t="shared" si="13"/>
        <v>6468918</v>
      </c>
      <c r="L42" s="299">
        <f t="shared" si="13"/>
        <v>6469018</v>
      </c>
      <c r="M42" s="299">
        <f>ROUND(SUM(M43:M57),0)</f>
        <v>23719484</v>
      </c>
      <c r="N42" s="299">
        <f>ROUND(SUM(N43:N57),0)</f>
        <v>6418584</v>
      </c>
      <c r="O42" s="299">
        <f>ROUND(SUM(O43:O57),0)</f>
        <v>6418584</v>
      </c>
      <c r="P42" s="299">
        <f>ROUND(SUM(P43:P58),0)</f>
        <v>7466918</v>
      </c>
      <c r="Q42" s="299">
        <f>ROUND(SUM(Q43:Q58),0)</f>
        <v>7701918</v>
      </c>
      <c r="R42" s="299">
        <f>ROUND(SUM(R43:R58),0)</f>
        <v>8201918</v>
      </c>
      <c r="S42" s="299">
        <f>ROUND(SUM(S43:S58),0)</f>
        <v>8497902</v>
      </c>
      <c r="T42" s="300">
        <f>SUM(T43:T58)</f>
        <v>127719000</v>
      </c>
      <c r="U42" s="26">
        <f t="shared" si="4"/>
        <v>0</v>
      </c>
    </row>
    <row r="43" spans="1:21" ht="14.25" x14ac:dyDescent="0.2">
      <c r="A43" s="283" t="s">
        <v>42</v>
      </c>
      <c r="B43" s="118" t="s">
        <v>43</v>
      </c>
      <c r="C43" s="295">
        <v>9000000</v>
      </c>
      <c r="D43" s="296"/>
      <c r="E43" s="40"/>
      <c r="F43" s="117"/>
      <c r="G43" s="117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287">
        <f>SUM(H43:S43)</f>
        <v>9000000</v>
      </c>
      <c r="U43" s="26">
        <f t="shared" si="4"/>
        <v>0</v>
      </c>
    </row>
    <row r="44" spans="1:21" ht="14.25" x14ac:dyDescent="0.2">
      <c r="A44" s="283">
        <v>2020120202</v>
      </c>
      <c r="B44" s="118" t="s">
        <v>44</v>
      </c>
      <c r="C44" s="295">
        <v>52500000</v>
      </c>
      <c r="D44" s="296"/>
      <c r="E44" s="40"/>
      <c r="F44" s="117"/>
      <c r="G44" s="117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287">
        <f t="shared" si="11"/>
        <v>52500000</v>
      </c>
      <c r="U44" s="26">
        <f t="shared" si="4"/>
        <v>0</v>
      </c>
    </row>
    <row r="45" spans="1:21" ht="14.25" x14ac:dyDescent="0.2">
      <c r="A45" s="283" t="s">
        <v>45</v>
      </c>
      <c r="B45" s="118" t="s">
        <v>46</v>
      </c>
      <c r="C45" s="295">
        <v>2000000</v>
      </c>
      <c r="D45" s="285"/>
      <c r="E45" s="117"/>
      <c r="F45" s="117"/>
      <c r="G45" s="117">
        <f t="shared" si="14"/>
        <v>2000000</v>
      </c>
      <c r="H45" s="40">
        <v>200000</v>
      </c>
      <c r="I45" s="288"/>
      <c r="J45" s="288"/>
      <c r="K45" s="288">
        <v>167000</v>
      </c>
      <c r="L45" s="288">
        <v>167100</v>
      </c>
      <c r="M45" s="288">
        <v>300900</v>
      </c>
      <c r="N45" s="288">
        <v>200000</v>
      </c>
      <c r="O45" s="44">
        <v>200000</v>
      </c>
      <c r="P45" s="44">
        <v>165000</v>
      </c>
      <c r="Q45" s="288">
        <v>200000</v>
      </c>
      <c r="R45" s="44">
        <v>200000</v>
      </c>
      <c r="S45" s="44">
        <v>200000</v>
      </c>
      <c r="T45" s="287">
        <f t="shared" si="11"/>
        <v>2000000</v>
      </c>
      <c r="U45" s="26">
        <f t="shared" si="4"/>
        <v>0</v>
      </c>
    </row>
    <row r="46" spans="1:21" ht="14.25" x14ac:dyDescent="0.2">
      <c r="A46" s="283" t="s">
        <v>47</v>
      </c>
      <c r="B46" s="118" t="s">
        <v>48</v>
      </c>
      <c r="C46" s="295">
        <v>11619000</v>
      </c>
      <c r="D46" s="285"/>
      <c r="E46" s="117"/>
      <c r="F46" s="117"/>
      <c r="G46" s="117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287">
        <f t="shared" si="11"/>
        <v>11619000</v>
      </c>
      <c r="U46" s="26">
        <f t="shared" si="4"/>
        <v>0</v>
      </c>
    </row>
    <row r="47" spans="1:21" ht="14.25" x14ac:dyDescent="0.2">
      <c r="A47" s="283" t="s">
        <v>49</v>
      </c>
      <c r="B47" s="118" t="s">
        <v>50</v>
      </c>
      <c r="C47" s="295">
        <v>8000000</v>
      </c>
      <c r="D47" s="285"/>
      <c r="E47" s="40"/>
      <c r="F47" s="117"/>
      <c r="G47" s="117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287">
        <f t="shared" si="11"/>
        <v>8000000</v>
      </c>
      <c r="U47" s="26">
        <f t="shared" si="4"/>
        <v>0</v>
      </c>
    </row>
    <row r="48" spans="1:21" ht="14.25" x14ac:dyDescent="0.2">
      <c r="A48" s="283" t="s">
        <v>51</v>
      </c>
      <c r="B48" s="118" t="s">
        <v>52</v>
      </c>
      <c r="C48" s="295">
        <v>2500000</v>
      </c>
      <c r="D48" s="285"/>
      <c r="E48" s="117"/>
      <c r="F48" s="117"/>
      <c r="G48" s="117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287">
        <f t="shared" si="11"/>
        <v>2500000</v>
      </c>
      <c r="U48" s="26">
        <f t="shared" si="4"/>
        <v>0</v>
      </c>
    </row>
    <row r="49" spans="1:22" ht="14.25" x14ac:dyDescent="0.2">
      <c r="A49" s="283" t="s">
        <v>53</v>
      </c>
      <c r="B49" s="118" t="s">
        <v>54</v>
      </c>
      <c r="C49" s="295">
        <v>1500000</v>
      </c>
      <c r="D49" s="285"/>
      <c r="E49" s="117"/>
      <c r="F49" s="117"/>
      <c r="G49" s="117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87">
        <f t="shared" si="11"/>
        <v>1500000</v>
      </c>
      <c r="U49" s="26">
        <f t="shared" si="4"/>
        <v>0</v>
      </c>
    </row>
    <row r="50" spans="1:22" ht="14.25" x14ac:dyDescent="0.2">
      <c r="A50" s="283" t="s">
        <v>55</v>
      </c>
      <c r="B50" s="118" t="s">
        <v>56</v>
      </c>
      <c r="C50" s="295">
        <v>0</v>
      </c>
      <c r="D50" s="285"/>
      <c r="E50" s="117"/>
      <c r="F50" s="117"/>
      <c r="G50" s="117">
        <f t="shared" si="14"/>
        <v>0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287">
        <f t="shared" si="11"/>
        <v>0</v>
      </c>
      <c r="U50" s="26">
        <f t="shared" si="4"/>
        <v>0</v>
      </c>
    </row>
    <row r="51" spans="1:22" ht="14.25" x14ac:dyDescent="0.2">
      <c r="A51" s="283" t="s">
        <v>57</v>
      </c>
      <c r="B51" s="118" t="s">
        <v>58</v>
      </c>
      <c r="C51" s="295">
        <v>9400000</v>
      </c>
      <c r="D51" s="285"/>
      <c r="E51" s="40"/>
      <c r="F51" s="117"/>
      <c r="G51" s="117">
        <f t="shared" si="14"/>
        <v>9400000</v>
      </c>
      <c r="H51" s="40"/>
      <c r="I51" s="301"/>
      <c r="J51" s="301">
        <v>9400000</v>
      </c>
      <c r="K51" s="301"/>
      <c r="L51" s="301"/>
      <c r="M51" s="301"/>
      <c r="N51" s="301"/>
      <c r="O51" s="301"/>
      <c r="P51" s="301"/>
      <c r="Q51" s="301"/>
      <c r="R51" s="44"/>
      <c r="S51" s="44"/>
      <c r="T51" s="287">
        <f t="shared" si="11"/>
        <v>9400000</v>
      </c>
      <c r="U51" s="26">
        <f t="shared" si="4"/>
        <v>0</v>
      </c>
    </row>
    <row r="52" spans="1:22" ht="14.25" x14ac:dyDescent="0.2">
      <c r="A52" s="283" t="s">
        <v>59</v>
      </c>
      <c r="B52" s="118" t="s">
        <v>60</v>
      </c>
      <c r="C52" s="295">
        <v>10000000</v>
      </c>
      <c r="D52" s="285"/>
      <c r="E52" s="117"/>
      <c r="F52" s="117"/>
      <c r="G52" s="117">
        <f t="shared" si="14"/>
        <v>10000000</v>
      </c>
      <c r="H52" s="40"/>
      <c r="I52" s="301"/>
      <c r="J52" s="301">
        <v>10000000</v>
      </c>
      <c r="K52" s="301"/>
      <c r="L52" s="301"/>
      <c r="M52" s="301"/>
      <c r="N52" s="301"/>
      <c r="O52" s="301"/>
      <c r="P52" s="301"/>
      <c r="Q52" s="301"/>
      <c r="R52" s="301"/>
      <c r="S52" s="301"/>
      <c r="T52" s="287">
        <f t="shared" si="11"/>
        <v>10000000</v>
      </c>
      <c r="U52" s="26">
        <f t="shared" si="4"/>
        <v>0</v>
      </c>
    </row>
    <row r="53" spans="1:22" ht="14.25" x14ac:dyDescent="0.2">
      <c r="A53" s="283" t="s">
        <v>61</v>
      </c>
      <c r="B53" s="118" t="s">
        <v>62</v>
      </c>
      <c r="C53" s="295">
        <v>4000000</v>
      </c>
      <c r="D53" s="285"/>
      <c r="E53" s="117"/>
      <c r="F53" s="117"/>
      <c r="G53" s="117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287">
        <f t="shared" si="11"/>
        <v>4000000</v>
      </c>
      <c r="U53" s="26">
        <f t="shared" si="4"/>
        <v>0</v>
      </c>
    </row>
    <row r="54" spans="1:22" ht="14.25" x14ac:dyDescent="0.2">
      <c r="A54" s="283" t="s">
        <v>63</v>
      </c>
      <c r="B54" s="118" t="s">
        <v>64</v>
      </c>
      <c r="C54" s="295">
        <v>15000000</v>
      </c>
      <c r="D54" s="285"/>
      <c r="E54" s="117"/>
      <c r="F54" s="117"/>
      <c r="G54" s="117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287">
        <f t="shared" si="11"/>
        <v>15000000</v>
      </c>
      <c r="U54" s="26">
        <f t="shared" si="4"/>
        <v>0</v>
      </c>
    </row>
    <row r="55" spans="1:22" ht="14.25" x14ac:dyDescent="0.2">
      <c r="A55" s="283">
        <v>2020120213</v>
      </c>
      <c r="B55" s="118" t="s">
        <v>65</v>
      </c>
      <c r="C55" s="295">
        <v>0</v>
      </c>
      <c r="D55" s="285"/>
      <c r="E55" s="117"/>
      <c r="F55" s="117"/>
      <c r="G55" s="117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287">
        <f t="shared" si="11"/>
        <v>0</v>
      </c>
      <c r="U55" s="26">
        <f t="shared" si="4"/>
        <v>0</v>
      </c>
    </row>
    <row r="56" spans="1:22" ht="14.25" x14ac:dyDescent="0.2">
      <c r="A56" s="283" t="s">
        <v>66</v>
      </c>
      <c r="B56" s="118" t="s">
        <v>67</v>
      </c>
      <c r="C56" s="295">
        <v>0</v>
      </c>
      <c r="D56" s="285"/>
      <c r="E56" s="117"/>
      <c r="F56" s="117"/>
      <c r="G56" s="117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287">
        <f t="shared" si="11"/>
        <v>0</v>
      </c>
      <c r="U56" s="26">
        <f t="shared" si="4"/>
        <v>0</v>
      </c>
    </row>
    <row r="57" spans="1:22" ht="14.25" x14ac:dyDescent="0.2">
      <c r="A57" s="283">
        <v>2020120215</v>
      </c>
      <c r="B57" s="118" t="s">
        <v>97</v>
      </c>
      <c r="C57" s="295">
        <v>1200000</v>
      </c>
      <c r="D57" s="285"/>
      <c r="E57" s="40"/>
      <c r="F57" s="117"/>
      <c r="G57" s="117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287">
        <f t="shared" si="11"/>
        <v>1200000</v>
      </c>
      <c r="U57" s="26">
        <f t="shared" si="4"/>
        <v>0</v>
      </c>
    </row>
    <row r="58" spans="1:22" ht="14.25" x14ac:dyDescent="0.2">
      <c r="A58" s="283">
        <v>2020120216</v>
      </c>
      <c r="B58" s="302" t="s">
        <v>148</v>
      </c>
      <c r="C58" s="295">
        <v>1000000</v>
      </c>
      <c r="D58" s="285"/>
      <c r="E58" s="40"/>
      <c r="F58" s="117"/>
      <c r="G58" s="117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287">
        <f t="shared" si="11"/>
        <v>1000000</v>
      </c>
      <c r="U58" s="26">
        <f t="shared" si="4"/>
        <v>0</v>
      </c>
    </row>
    <row r="59" spans="1:22" x14ac:dyDescent="0.2">
      <c r="A59" s="277" t="s">
        <v>68</v>
      </c>
      <c r="B59" s="297" t="s">
        <v>134</v>
      </c>
      <c r="C59" s="297">
        <f>SUM(C60:C63)</f>
        <v>83629741</v>
      </c>
      <c r="D59" s="297">
        <f>SUM(D60:D63)</f>
        <v>0</v>
      </c>
      <c r="E59" s="297">
        <f>SUM(E60:E63)</f>
        <v>0</v>
      </c>
      <c r="F59" s="299">
        <f>SUM(F60:F63)</f>
        <v>0</v>
      </c>
      <c r="G59" s="299">
        <f>ROUND(SUM(G60:G63),0)</f>
        <v>83629741</v>
      </c>
      <c r="H59" s="299">
        <f t="shared" ref="H59:S59" si="15">ROUND(SUM(H60:H63),0)</f>
        <v>5535806</v>
      </c>
      <c r="I59" s="299">
        <f t="shared" si="15"/>
        <v>5035806</v>
      </c>
      <c r="J59" s="299">
        <f t="shared" si="15"/>
        <v>5035806</v>
      </c>
      <c r="K59" s="299">
        <f t="shared" si="15"/>
        <v>5035806</v>
      </c>
      <c r="L59" s="299">
        <f t="shared" si="15"/>
        <v>5035806</v>
      </c>
      <c r="M59" s="299">
        <f t="shared" si="15"/>
        <v>5035806</v>
      </c>
      <c r="N59" s="299">
        <f t="shared" si="15"/>
        <v>5035806</v>
      </c>
      <c r="O59" s="299">
        <f t="shared" si="15"/>
        <v>5035806</v>
      </c>
      <c r="P59" s="299">
        <f t="shared" si="15"/>
        <v>5035806</v>
      </c>
      <c r="Q59" s="299">
        <f t="shared" si="15"/>
        <v>5035806</v>
      </c>
      <c r="R59" s="299">
        <f t="shared" si="15"/>
        <v>5035806</v>
      </c>
      <c r="S59" s="299">
        <f t="shared" si="15"/>
        <v>27735875</v>
      </c>
      <c r="T59" s="299">
        <f>SUM(T60:T63)</f>
        <v>83629741</v>
      </c>
      <c r="U59" s="26">
        <f t="shared" si="4"/>
        <v>0</v>
      </c>
    </row>
    <row r="60" spans="1:22" ht="14.25" x14ac:dyDescent="0.2">
      <c r="A60" s="283" t="s">
        <v>70</v>
      </c>
      <c r="B60" s="118" t="s">
        <v>71</v>
      </c>
      <c r="C60" s="303">
        <v>16000083</v>
      </c>
      <c r="D60" s="285"/>
      <c r="E60" s="117"/>
      <c r="F60" s="117"/>
      <c r="G60" s="117">
        <f t="shared" si="14"/>
        <v>16000083</v>
      </c>
      <c r="H60" s="40">
        <v>0</v>
      </c>
      <c r="I60" s="304"/>
      <c r="J60" s="304"/>
      <c r="K60" s="304"/>
      <c r="L60" s="304"/>
      <c r="M60" s="304"/>
      <c r="N60" s="304"/>
      <c r="O60" s="44"/>
      <c r="P60" s="44"/>
      <c r="Q60" s="44"/>
      <c r="R60" s="44"/>
      <c r="S60" s="44">
        <v>16000083</v>
      </c>
      <c r="T60" s="287">
        <f t="shared" si="11"/>
        <v>16000083</v>
      </c>
      <c r="U60" s="26">
        <f t="shared" si="4"/>
        <v>0</v>
      </c>
    </row>
    <row r="61" spans="1:22" ht="14.25" x14ac:dyDescent="0.2">
      <c r="A61" s="283" t="s">
        <v>72</v>
      </c>
      <c r="B61" s="118" t="s">
        <v>73</v>
      </c>
      <c r="C61" s="303">
        <v>46429658</v>
      </c>
      <c r="D61" s="285"/>
      <c r="E61" s="117"/>
      <c r="F61" s="117"/>
      <c r="G61" s="117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287">
        <f t="shared" si="11"/>
        <v>46429658</v>
      </c>
      <c r="U61" s="26">
        <f t="shared" si="4"/>
        <v>0</v>
      </c>
      <c r="V61" s="26"/>
    </row>
    <row r="62" spans="1:22" ht="14.25" x14ac:dyDescent="0.2">
      <c r="A62" s="283">
        <v>2020110304</v>
      </c>
      <c r="B62" s="118" t="s">
        <v>74</v>
      </c>
      <c r="C62" s="303">
        <v>14000000</v>
      </c>
      <c r="D62" s="285"/>
      <c r="E62" s="117"/>
      <c r="F62" s="117"/>
      <c r="G62" s="117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287">
        <f t="shared" si="11"/>
        <v>14000000</v>
      </c>
      <c r="U62" s="26">
        <f t="shared" si="4"/>
        <v>0</v>
      </c>
    </row>
    <row r="63" spans="1:22" ht="14.25" x14ac:dyDescent="0.2">
      <c r="A63" s="283">
        <v>2020110305</v>
      </c>
      <c r="B63" s="118" t="s">
        <v>75</v>
      </c>
      <c r="C63" s="303">
        <v>7200000</v>
      </c>
      <c r="D63" s="285"/>
      <c r="E63" s="117"/>
      <c r="F63" s="117"/>
      <c r="G63" s="117">
        <f t="shared" si="14"/>
        <v>7200000</v>
      </c>
      <c r="H63" s="40">
        <v>500000</v>
      </c>
      <c r="I63" s="288">
        <v>0</v>
      </c>
      <c r="J63" s="288">
        <v>0</v>
      </c>
      <c r="K63" s="288">
        <v>0</v>
      </c>
      <c r="L63" s="288">
        <v>0</v>
      </c>
      <c r="M63" s="288"/>
      <c r="N63" s="288">
        <v>0</v>
      </c>
      <c r="O63" s="288">
        <v>0</v>
      </c>
      <c r="P63" s="288">
        <v>0</v>
      </c>
      <c r="Q63" s="288">
        <v>0</v>
      </c>
      <c r="R63" s="288">
        <v>0</v>
      </c>
      <c r="S63" s="44">
        <v>6700000</v>
      </c>
      <c r="T63" s="287">
        <f t="shared" si="11"/>
        <v>7200000</v>
      </c>
      <c r="U63" s="26">
        <f t="shared" si="4"/>
        <v>0</v>
      </c>
    </row>
    <row r="64" spans="1:22" x14ac:dyDescent="0.2">
      <c r="A64" s="277">
        <v>20201104</v>
      </c>
      <c r="B64" s="297" t="s">
        <v>135</v>
      </c>
      <c r="C64" s="297">
        <f>SUM(C65:C74)</f>
        <v>177100000</v>
      </c>
      <c r="D64" s="297">
        <f>SUM(D65:D74)</f>
        <v>0</v>
      </c>
      <c r="E64" s="297">
        <f>SUM(E65:E74)</f>
        <v>0</v>
      </c>
      <c r="F64" s="297">
        <f>SUM(F65:F74)</f>
        <v>0</v>
      </c>
      <c r="G64" s="300">
        <f>SUM(G65:G74)</f>
        <v>177100000</v>
      </c>
      <c r="H64" s="300">
        <f t="shared" ref="H64:S64" si="16">SUM(H65:H74)</f>
        <v>11591665</v>
      </c>
      <c r="I64" s="300">
        <f t="shared" si="16"/>
        <v>10091665</v>
      </c>
      <c r="J64" s="300">
        <f t="shared" si="16"/>
        <v>10091665</v>
      </c>
      <c r="K64" s="300">
        <f t="shared" si="16"/>
        <v>10091665</v>
      </c>
      <c r="L64" s="300">
        <f t="shared" si="16"/>
        <v>10091665</v>
      </c>
      <c r="M64" s="300">
        <f t="shared" si="16"/>
        <v>10091665</v>
      </c>
      <c r="N64" s="300">
        <f t="shared" si="16"/>
        <v>10091665</v>
      </c>
      <c r="O64" s="300">
        <f t="shared" si="16"/>
        <v>10091665</v>
      </c>
      <c r="P64" s="300">
        <f t="shared" si="16"/>
        <v>10091665</v>
      </c>
      <c r="Q64" s="300">
        <f t="shared" si="16"/>
        <v>10091665</v>
      </c>
      <c r="R64" s="300">
        <f t="shared" si="16"/>
        <v>10091665</v>
      </c>
      <c r="S64" s="300">
        <f t="shared" si="16"/>
        <v>64591685</v>
      </c>
      <c r="T64" s="300">
        <f>SUM(T65:T74)</f>
        <v>177100000</v>
      </c>
      <c r="U64" s="26">
        <f t="shared" si="4"/>
        <v>0</v>
      </c>
    </row>
    <row r="65" spans="1:21" ht="14.25" x14ac:dyDescent="0.2">
      <c r="A65" s="305" t="s">
        <v>77</v>
      </c>
      <c r="B65" s="118" t="s">
        <v>78</v>
      </c>
      <c r="C65" s="284">
        <v>56000000</v>
      </c>
      <c r="D65" s="285"/>
      <c r="E65" s="117"/>
      <c r="F65" s="117"/>
      <c r="G65" s="117">
        <f>ROUND((C65+D65+E65-F65),0)</f>
        <v>56000000</v>
      </c>
      <c r="H65" s="289">
        <v>1500000</v>
      </c>
      <c r="I65" s="289">
        <v>0</v>
      </c>
      <c r="J65" s="289">
        <v>0</v>
      </c>
      <c r="K65" s="289">
        <v>0</v>
      </c>
      <c r="L65" s="289">
        <v>0</v>
      </c>
      <c r="M65" s="289">
        <v>0</v>
      </c>
      <c r="N65" s="289"/>
      <c r="O65" s="289">
        <v>0</v>
      </c>
      <c r="P65" s="289">
        <v>0</v>
      </c>
      <c r="Q65" s="289">
        <v>0</v>
      </c>
      <c r="R65" s="289">
        <v>0</v>
      </c>
      <c r="S65" s="44">
        <v>54500000</v>
      </c>
      <c r="T65" s="287">
        <f>ROUND(SUM(H65:S65),0)</f>
        <v>56000000</v>
      </c>
      <c r="U65" s="26">
        <f t="shared" si="4"/>
        <v>0</v>
      </c>
    </row>
    <row r="66" spans="1:21" ht="14.25" x14ac:dyDescent="0.2">
      <c r="A66" s="283" t="s">
        <v>79</v>
      </c>
      <c r="B66" s="118" t="s">
        <v>73</v>
      </c>
      <c r="C66" s="284">
        <v>0</v>
      </c>
      <c r="D66" s="285"/>
      <c r="E66" s="117"/>
      <c r="F66" s="117"/>
      <c r="G66" s="117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287">
        <f t="shared" ref="T66:T74" si="18">ROUND(SUM(H66:S66),0)</f>
        <v>0</v>
      </c>
      <c r="U66" s="26">
        <f t="shared" si="4"/>
        <v>0</v>
      </c>
    </row>
    <row r="67" spans="1:21" ht="14.25" x14ac:dyDescent="0.2">
      <c r="A67" s="283" t="s">
        <v>80</v>
      </c>
      <c r="B67" s="118" t="s">
        <v>81</v>
      </c>
      <c r="C67" s="284">
        <v>3900000</v>
      </c>
      <c r="D67" s="285"/>
      <c r="E67" s="117"/>
      <c r="F67" s="117"/>
      <c r="G67" s="117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287">
        <f t="shared" si="18"/>
        <v>3900000</v>
      </c>
      <c r="U67" s="26">
        <f t="shared" si="4"/>
        <v>0</v>
      </c>
    </row>
    <row r="68" spans="1:21" ht="14.25" x14ac:dyDescent="0.2">
      <c r="A68" s="283" t="s">
        <v>82</v>
      </c>
      <c r="B68" s="118" t="s">
        <v>74</v>
      </c>
      <c r="C68" s="284">
        <v>52000000</v>
      </c>
      <c r="D68" s="285"/>
      <c r="E68" s="117"/>
      <c r="F68" s="117"/>
      <c r="G68" s="117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287">
        <f t="shared" si="18"/>
        <v>52000000</v>
      </c>
      <c r="U68" s="26">
        <f t="shared" si="4"/>
        <v>0</v>
      </c>
    </row>
    <row r="69" spans="1:21" ht="14.25" x14ac:dyDescent="0.2">
      <c r="A69" s="283" t="s">
        <v>83</v>
      </c>
      <c r="B69" s="118" t="s">
        <v>84</v>
      </c>
      <c r="C69" s="284">
        <v>27000000</v>
      </c>
      <c r="D69" s="285"/>
      <c r="E69" s="117"/>
      <c r="F69" s="117"/>
      <c r="G69" s="117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287">
        <f t="shared" si="18"/>
        <v>27000000</v>
      </c>
      <c r="U69" s="26">
        <f t="shared" si="4"/>
        <v>0</v>
      </c>
    </row>
    <row r="70" spans="1:21" ht="14.25" x14ac:dyDescent="0.2">
      <c r="A70" s="283" t="s">
        <v>85</v>
      </c>
      <c r="B70" s="118" t="s">
        <v>86</v>
      </c>
      <c r="C70" s="284">
        <v>23000000</v>
      </c>
      <c r="D70" s="285"/>
      <c r="E70" s="117"/>
      <c r="F70" s="117"/>
      <c r="G70" s="117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287">
        <f t="shared" si="18"/>
        <v>23000000</v>
      </c>
      <c r="U70" s="26">
        <f t="shared" si="4"/>
        <v>0</v>
      </c>
    </row>
    <row r="71" spans="1:21" ht="14.25" x14ac:dyDescent="0.2">
      <c r="A71" s="283" t="s">
        <v>87</v>
      </c>
      <c r="B71" s="118" t="s">
        <v>88</v>
      </c>
      <c r="C71" s="284">
        <v>4000000</v>
      </c>
      <c r="D71" s="285"/>
      <c r="E71" s="117"/>
      <c r="F71" s="117"/>
      <c r="G71" s="117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287">
        <f t="shared" si="18"/>
        <v>4000000</v>
      </c>
      <c r="U71" s="26">
        <f t="shared" si="4"/>
        <v>0</v>
      </c>
    </row>
    <row r="72" spans="1:21" ht="14.25" x14ac:dyDescent="0.2">
      <c r="A72" s="283" t="s">
        <v>89</v>
      </c>
      <c r="B72" s="118" t="s">
        <v>90</v>
      </c>
      <c r="C72" s="284">
        <v>4000000</v>
      </c>
      <c r="D72" s="285"/>
      <c r="E72" s="117"/>
      <c r="F72" s="117"/>
      <c r="G72" s="117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287">
        <f t="shared" si="18"/>
        <v>4000000</v>
      </c>
      <c r="U72" s="26">
        <f t="shared" si="4"/>
        <v>0</v>
      </c>
    </row>
    <row r="73" spans="1:21" ht="14.25" x14ac:dyDescent="0.2">
      <c r="A73" s="283" t="s">
        <v>91</v>
      </c>
      <c r="B73" s="118" t="s">
        <v>92</v>
      </c>
      <c r="C73" s="284">
        <v>7200000</v>
      </c>
      <c r="D73" s="285"/>
      <c r="E73" s="117"/>
      <c r="F73" s="117"/>
      <c r="G73" s="117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287">
        <f t="shared" si="18"/>
        <v>7200000</v>
      </c>
      <c r="U73" s="26">
        <f t="shared" si="4"/>
        <v>0</v>
      </c>
    </row>
    <row r="74" spans="1:21" ht="14.25" x14ac:dyDescent="0.2">
      <c r="A74" s="283" t="s">
        <v>93</v>
      </c>
      <c r="B74" s="118" t="s">
        <v>94</v>
      </c>
      <c r="C74" s="284">
        <v>0</v>
      </c>
      <c r="D74" s="285">
        <v>0</v>
      </c>
      <c r="E74" s="117">
        <v>0</v>
      </c>
      <c r="F74" s="117">
        <v>0</v>
      </c>
      <c r="G74" s="117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287">
        <f t="shared" si="18"/>
        <v>0</v>
      </c>
      <c r="U74" s="26">
        <f t="shared" si="4"/>
        <v>0</v>
      </c>
    </row>
    <row r="75" spans="1:21" x14ac:dyDescent="0.2">
      <c r="A75" s="277">
        <v>20201301</v>
      </c>
      <c r="B75" s="297" t="s">
        <v>95</v>
      </c>
      <c r="C75" s="299">
        <f t="shared" ref="C75:T75" si="19">C76</f>
        <v>75000000</v>
      </c>
      <c r="D75" s="300">
        <f t="shared" si="19"/>
        <v>0</v>
      </c>
      <c r="E75" s="300">
        <f t="shared" si="19"/>
        <v>0</v>
      </c>
      <c r="F75" s="300">
        <f t="shared" si="19"/>
        <v>0</v>
      </c>
      <c r="G75" s="300">
        <f t="shared" si="19"/>
        <v>75000000</v>
      </c>
      <c r="H75" s="297">
        <f t="shared" si="19"/>
        <v>62534000</v>
      </c>
      <c r="I75" s="297">
        <f t="shared" si="19"/>
        <v>0</v>
      </c>
      <c r="J75" s="297">
        <f t="shared" si="19"/>
        <v>12466000</v>
      </c>
      <c r="K75" s="297">
        <f t="shared" si="19"/>
        <v>0</v>
      </c>
      <c r="L75" s="297">
        <f t="shared" si="19"/>
        <v>0</v>
      </c>
      <c r="M75" s="297">
        <f t="shared" si="19"/>
        <v>0</v>
      </c>
      <c r="N75" s="297">
        <f t="shared" si="19"/>
        <v>0</v>
      </c>
      <c r="O75" s="297">
        <f t="shared" si="19"/>
        <v>0</v>
      </c>
      <c r="P75" s="297">
        <f t="shared" si="19"/>
        <v>0</v>
      </c>
      <c r="Q75" s="297">
        <f t="shared" si="19"/>
        <v>0</v>
      </c>
      <c r="R75" s="297">
        <f t="shared" si="19"/>
        <v>0</v>
      </c>
      <c r="S75" s="297">
        <f t="shared" si="19"/>
        <v>0</v>
      </c>
      <c r="T75" s="297">
        <f t="shared" si="19"/>
        <v>75000000</v>
      </c>
      <c r="U75" s="26">
        <f t="shared" si="4"/>
        <v>0</v>
      </c>
    </row>
    <row r="76" spans="1:21" ht="15" thickBot="1" x14ac:dyDescent="0.25">
      <c r="A76" s="306">
        <v>2020130101</v>
      </c>
      <c r="B76" s="307" t="s">
        <v>142</v>
      </c>
      <c r="C76" s="308">
        <v>75000000</v>
      </c>
      <c r="D76" s="309"/>
      <c r="E76" s="310"/>
      <c r="F76" s="310"/>
      <c r="G76" s="310">
        <f t="shared" si="14"/>
        <v>75000000</v>
      </c>
      <c r="H76" s="311">
        <v>62534000</v>
      </c>
      <c r="I76" s="311">
        <v>0</v>
      </c>
      <c r="J76" s="311">
        <v>12466000</v>
      </c>
      <c r="K76" s="311">
        <v>0</v>
      </c>
      <c r="L76" s="311">
        <v>0</v>
      </c>
      <c r="M76" s="311">
        <v>0</v>
      </c>
      <c r="N76" s="311"/>
      <c r="O76" s="311">
        <v>0</v>
      </c>
      <c r="P76" s="311"/>
      <c r="Q76" s="311"/>
      <c r="R76" s="311"/>
      <c r="S76" s="311"/>
      <c r="T76" s="287">
        <f>ROUND(SUM(H76:S76),0)</f>
        <v>75000000</v>
      </c>
      <c r="U76" s="26">
        <f t="shared" si="4"/>
        <v>0</v>
      </c>
    </row>
    <row r="77" spans="1:21" x14ac:dyDescent="0.2">
      <c r="A77" s="297"/>
      <c r="B77" s="297" t="s">
        <v>136</v>
      </c>
      <c r="C77" s="300">
        <f>C64+C59+C42+C37+C32+C23+C75</f>
        <v>1155126065</v>
      </c>
      <c r="D77" s="300">
        <f>D64+D59+D42+D37+D32+D23+D75</f>
        <v>0</v>
      </c>
      <c r="E77" s="300">
        <f>E64+E59+E42+E37+E32+E23+E75</f>
        <v>0</v>
      </c>
      <c r="F77" s="300">
        <f>F64+F59+F42+F37+F32+F23+F75</f>
        <v>0</v>
      </c>
      <c r="G77" s="300">
        <f>G64+G59+G42+G37+G32+G23+G75</f>
        <v>1155126065</v>
      </c>
      <c r="H77" s="300">
        <f t="shared" ref="H77:O77" si="20">H64+H59+H42+H37+H32+H23</f>
        <v>104994166</v>
      </c>
      <c r="I77" s="300">
        <f t="shared" si="20"/>
        <v>75194166</v>
      </c>
      <c r="J77" s="300">
        <f t="shared" si="20"/>
        <v>82694166</v>
      </c>
      <c r="K77" s="300">
        <f t="shared" si="20"/>
        <v>63411166</v>
      </c>
      <c r="L77" s="300">
        <f t="shared" si="20"/>
        <v>63611266</v>
      </c>
      <c r="M77" s="300">
        <f t="shared" si="20"/>
        <v>90289468</v>
      </c>
      <c r="N77" s="300">
        <f t="shared" si="20"/>
        <v>91610832</v>
      </c>
      <c r="O77" s="300">
        <f t="shared" si="20"/>
        <v>67960832</v>
      </c>
      <c r="P77" s="300">
        <f>P64+P59+P42+P37+P32+P23+P75</f>
        <v>63459166</v>
      </c>
      <c r="Q77" s="300">
        <f>Q64+Q59+Q42+Q37+Q32+Q23</f>
        <v>78094166</v>
      </c>
      <c r="R77" s="300">
        <f>R64+R59+R42+R37+R32+R23</f>
        <v>75594166</v>
      </c>
      <c r="S77" s="300">
        <f>S23+S32+S37+S42+S59+S64+S75</f>
        <v>222962503</v>
      </c>
      <c r="T77" s="300">
        <f>T75+T64+T59+T42+T37+T32+T23</f>
        <v>1155126065</v>
      </c>
      <c r="U77" s="26">
        <f t="shared" si="4"/>
        <v>0</v>
      </c>
    </row>
    <row r="78" spans="1:21" x14ac:dyDescent="0.2">
      <c r="A78" s="227"/>
      <c r="B78" s="241"/>
      <c r="C78" s="242"/>
      <c r="D78" s="243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4"/>
    </row>
    <row r="79" spans="1:21" x14ac:dyDescent="0.2">
      <c r="A79" s="227"/>
      <c r="B79" s="241"/>
      <c r="C79" s="242"/>
      <c r="D79" s="241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44"/>
    </row>
    <row r="80" spans="1:21" x14ac:dyDescent="0.2">
      <c r="A80" s="227"/>
      <c r="B80" s="241"/>
      <c r="C80" s="268"/>
      <c r="D80" s="241"/>
      <c r="E80" s="268"/>
      <c r="F80" s="312"/>
      <c r="G80" s="313" t="s">
        <v>291</v>
      </c>
      <c r="H80" s="268"/>
      <c r="I80" s="268"/>
      <c r="J80" s="268"/>
      <c r="K80" s="268"/>
      <c r="L80" s="268"/>
      <c r="M80" s="268"/>
      <c r="N80" s="268"/>
      <c r="O80" s="268"/>
      <c r="P80" s="313" t="s">
        <v>137</v>
      </c>
      <c r="Q80" s="268"/>
      <c r="R80" s="268"/>
      <c r="S80" s="268"/>
      <c r="T80" s="314"/>
    </row>
    <row r="81" spans="1:20" x14ac:dyDescent="0.2">
      <c r="A81" s="227"/>
      <c r="B81" s="241"/>
      <c r="C81" s="315"/>
      <c r="D81" s="241"/>
      <c r="E81" s="268"/>
      <c r="F81" s="312"/>
      <c r="G81" s="316" t="s">
        <v>141</v>
      </c>
      <c r="H81" s="268"/>
      <c r="I81" s="268"/>
      <c r="J81" s="268"/>
      <c r="K81" s="268"/>
      <c r="L81" s="268"/>
      <c r="M81" s="268"/>
      <c r="N81" s="268"/>
      <c r="O81" s="268"/>
      <c r="P81" s="268" t="s">
        <v>138</v>
      </c>
      <c r="Q81" s="313"/>
      <c r="R81" s="268"/>
      <c r="S81" s="268"/>
      <c r="T81" s="314"/>
    </row>
    <row r="82" spans="1:20" ht="13.5" thickBot="1" x14ac:dyDescent="0.25">
      <c r="A82" s="227"/>
      <c r="B82" s="234"/>
      <c r="C82" s="240"/>
      <c r="D82" s="234"/>
      <c r="E82" s="240"/>
      <c r="F82" s="317"/>
      <c r="G82" s="317"/>
      <c r="H82" s="240"/>
      <c r="I82" s="240"/>
      <c r="J82" s="240"/>
      <c r="K82" s="240"/>
      <c r="L82" s="240"/>
      <c r="M82" s="240"/>
      <c r="N82" s="240"/>
      <c r="O82" s="240"/>
      <c r="P82" s="318"/>
      <c r="Q82" s="240"/>
      <c r="R82" s="240"/>
      <c r="S82" s="240"/>
      <c r="T82" s="319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E20B-7BF7-4FEC-BF8D-824EDDC0B62E}">
  <sheetPr>
    <tabColor rgb="FF0070C0"/>
  </sheetPr>
  <dimension ref="A1:R70"/>
  <sheetViews>
    <sheetView showGridLines="0" view="pageBreakPreview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I9" sqref="I9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305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I8" si="0">SUM(C9:C17)</f>
        <v>699585000</v>
      </c>
      <c r="D8" s="176">
        <f t="shared" si="0"/>
        <v>0</v>
      </c>
      <c r="E8" s="176">
        <f t="shared" si="0"/>
        <v>155847307</v>
      </c>
      <c r="F8" s="176">
        <f t="shared" si="0"/>
        <v>0</v>
      </c>
      <c r="G8" s="176">
        <f t="shared" si="0"/>
        <v>66300000</v>
      </c>
      <c r="H8" s="176">
        <f t="shared" si="0"/>
        <v>789132307</v>
      </c>
      <c r="I8" s="176">
        <f t="shared" si="0"/>
        <v>168947517.86666667</v>
      </c>
      <c r="J8" s="176">
        <f>SUM(J9:J17)</f>
        <v>53727106</v>
      </c>
      <c r="K8" s="177">
        <f>L8/H8</f>
        <v>0.28217653984183755</v>
      </c>
      <c r="L8" s="178">
        <f>SUM(L9:L17)</f>
        <v>222674623.86666667</v>
      </c>
      <c r="M8" s="178">
        <f>SUM(M9:M17)</f>
        <v>222674623.86666667</v>
      </c>
      <c r="N8" s="176">
        <f>SUM(N9:N17)</f>
        <v>566457683.13333333</v>
      </c>
      <c r="O8" s="179">
        <f t="shared" ref="O8:O19" si="1">N8/H8</f>
        <v>0.71782346015816245</v>
      </c>
      <c r="P8" s="176">
        <f>SUM(P9:P17)</f>
        <v>222674623.86666667</v>
      </c>
      <c r="Q8" s="176">
        <f>SUM(Q9:Q17)</f>
        <v>0</v>
      </c>
      <c r="R8" s="176">
        <f>SUM(R9:R17)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>
        <f>3000000+10000000+53300000</f>
        <v>66300000</v>
      </c>
      <c r="H9" s="185">
        <f>C9-D9+E9+F9-G9</f>
        <v>469700000</v>
      </c>
      <c r="I9" s="186">
        <f>ABRIL!I9+ABRIL!J9</f>
        <v>158047871</v>
      </c>
      <c r="J9" s="186">
        <v>0</v>
      </c>
      <c r="K9" s="187">
        <f>L9/H9</f>
        <v>0.33648684479454971</v>
      </c>
      <c r="L9" s="188">
        <f t="shared" ref="L9:L17" si="2">J9+I9</f>
        <v>158047871</v>
      </c>
      <c r="M9" s="321">
        <f>I9+J9</f>
        <v>158047871</v>
      </c>
      <c r="N9" s="189">
        <f>H9-L9</f>
        <v>311652129</v>
      </c>
      <c r="O9" s="190">
        <f t="shared" si="1"/>
        <v>0.66351315520545029</v>
      </c>
      <c r="P9" s="432">
        <f>M9</f>
        <v>158047871</v>
      </c>
      <c r="Q9" s="432">
        <f t="shared" ref="Q9:Q17" si="3">M9-P9</f>
        <v>0</v>
      </c>
      <c r="R9" s="432">
        <f t="shared" ref="R9:R17" si="4">L9-M9</f>
        <v>0</v>
      </c>
    </row>
    <row r="10" spans="1:18" ht="15" x14ac:dyDescent="0.25">
      <c r="A10" s="496">
        <v>2021010101</v>
      </c>
      <c r="B10" s="182" t="s">
        <v>306</v>
      </c>
      <c r="C10" s="159"/>
      <c r="D10" s="184"/>
      <c r="E10" s="457">
        <v>155847307</v>
      </c>
      <c r="F10" s="458"/>
      <c r="G10" s="459"/>
      <c r="H10" s="185">
        <f>C10-D10+E10+F10-G10</f>
        <v>155847307</v>
      </c>
      <c r="I10" s="186">
        <v>0</v>
      </c>
      <c r="J10" s="186">
        <v>46923039</v>
      </c>
      <c r="K10" s="187">
        <f>L10/H10</f>
        <v>0.30108341236849218</v>
      </c>
      <c r="L10" s="188">
        <f t="shared" si="2"/>
        <v>46923039</v>
      </c>
      <c r="M10" s="321">
        <f>I10+J10</f>
        <v>46923039</v>
      </c>
      <c r="N10" s="189">
        <f>H10-L10</f>
        <v>108924268</v>
      </c>
      <c r="O10" s="190">
        <f t="shared" si="1"/>
        <v>0.69891658763150777</v>
      </c>
      <c r="P10" s="432">
        <f>M10</f>
        <v>46923039</v>
      </c>
      <c r="Q10" s="432"/>
      <c r="R10" s="432"/>
    </row>
    <row r="11" spans="1:18" ht="15" x14ac:dyDescent="0.25">
      <c r="A11" s="496" t="s">
        <v>210</v>
      </c>
      <c r="B11" s="182" t="s">
        <v>11</v>
      </c>
      <c r="C11" s="159">
        <v>1320000</v>
      </c>
      <c r="D11" s="184"/>
      <c r="E11" s="457"/>
      <c r="F11" s="458"/>
      <c r="G11" s="459"/>
      <c r="H11" s="185">
        <f t="shared" ref="H11:H17" si="5">C11-D11+E11+F11-G11</f>
        <v>1320000</v>
      </c>
      <c r="I11" s="186">
        <f>ABRIL!I10+ABRIL!J10</f>
        <v>386782.8666666667</v>
      </c>
      <c r="J11" s="186">
        <v>106454</v>
      </c>
      <c r="K11" s="187">
        <f t="shared" ref="K11:K17" si="6">L11/H11</f>
        <v>0.37366429292929293</v>
      </c>
      <c r="L11" s="188">
        <f t="shared" si="2"/>
        <v>493236.8666666667</v>
      </c>
      <c r="M11" s="321">
        <f>I11+J11</f>
        <v>493236.8666666667</v>
      </c>
      <c r="N11" s="189">
        <f t="shared" ref="N11:N17" si="7">H11-L11</f>
        <v>826763.1333333333</v>
      </c>
      <c r="O11" s="190">
        <f t="shared" si="1"/>
        <v>0.62633570707070707</v>
      </c>
      <c r="P11" s="432">
        <f t="shared" ref="P11:P16" si="8">L11</f>
        <v>493236.8666666667</v>
      </c>
      <c r="Q11" s="432">
        <f t="shared" si="3"/>
        <v>0</v>
      </c>
      <c r="R11" s="432">
        <f t="shared" si="4"/>
        <v>0</v>
      </c>
    </row>
    <row r="12" spans="1:18" ht="15.75" customHeight="1" x14ac:dyDescent="0.25">
      <c r="A12" s="496" t="s">
        <v>211</v>
      </c>
      <c r="B12" s="182" t="s">
        <v>13</v>
      </c>
      <c r="C12" s="159">
        <v>848000</v>
      </c>
      <c r="D12" s="184"/>
      <c r="E12" s="457"/>
      <c r="F12" s="458"/>
      <c r="G12" s="459"/>
      <c r="H12" s="185">
        <f t="shared" si="5"/>
        <v>848000</v>
      </c>
      <c r="I12" s="186">
        <f>ABRIL!I11+ABRIL!J11</f>
        <v>240156</v>
      </c>
      <c r="J12" s="186">
        <v>66098</v>
      </c>
      <c r="K12" s="187">
        <f t="shared" si="6"/>
        <v>0.36114858490566037</v>
      </c>
      <c r="L12" s="188">
        <f t="shared" si="2"/>
        <v>306254</v>
      </c>
      <c r="M12" s="321">
        <f t="shared" ref="M12:M17" si="9">I12+J12</f>
        <v>306254</v>
      </c>
      <c r="N12" s="189">
        <f t="shared" si="7"/>
        <v>541746</v>
      </c>
      <c r="O12" s="190">
        <f t="shared" si="1"/>
        <v>0.63885141509433963</v>
      </c>
      <c r="P12" s="432">
        <f t="shared" si="8"/>
        <v>306254</v>
      </c>
      <c r="Q12" s="432">
        <f t="shared" si="3"/>
        <v>0</v>
      </c>
      <c r="R12" s="432">
        <f t="shared" si="4"/>
        <v>0</v>
      </c>
    </row>
    <row r="13" spans="1:18" ht="15" x14ac:dyDescent="0.25">
      <c r="A13" s="496" t="s">
        <v>212</v>
      </c>
      <c r="B13" s="182" t="s">
        <v>15</v>
      </c>
      <c r="C13" s="159">
        <v>16300000</v>
      </c>
      <c r="D13" s="184"/>
      <c r="E13" s="457"/>
      <c r="F13" s="458"/>
      <c r="G13" s="459"/>
      <c r="H13" s="185">
        <f t="shared" si="5"/>
        <v>16300000</v>
      </c>
      <c r="I13" s="186">
        <f>ABRIL!I12+ABRIL!J12</f>
        <v>4987137</v>
      </c>
      <c r="J13" s="186">
        <v>1722358</v>
      </c>
      <c r="K13" s="187">
        <f t="shared" si="6"/>
        <v>0.4116254601226994</v>
      </c>
      <c r="L13" s="188">
        <f t="shared" si="2"/>
        <v>6709495</v>
      </c>
      <c r="M13" s="321">
        <f t="shared" si="9"/>
        <v>6709495</v>
      </c>
      <c r="N13" s="189">
        <f t="shared" si="7"/>
        <v>9590505</v>
      </c>
      <c r="O13" s="190">
        <f t="shared" si="1"/>
        <v>0.5883745398773006</v>
      </c>
      <c r="P13" s="432">
        <f t="shared" si="8"/>
        <v>6709495</v>
      </c>
      <c r="Q13" s="432">
        <f t="shared" si="3"/>
        <v>0</v>
      </c>
      <c r="R13" s="432">
        <f t="shared" si="4"/>
        <v>0</v>
      </c>
    </row>
    <row r="14" spans="1:18" ht="15" x14ac:dyDescent="0.25">
      <c r="A14" s="496" t="s">
        <v>213</v>
      </c>
      <c r="B14" s="182" t="s">
        <v>17</v>
      </c>
      <c r="C14" s="159">
        <v>24000000</v>
      </c>
      <c r="D14" s="184"/>
      <c r="E14" s="457"/>
      <c r="F14" s="458"/>
      <c r="G14" s="459"/>
      <c r="H14" s="185">
        <f t="shared" si="5"/>
        <v>24000000</v>
      </c>
      <c r="I14" s="186">
        <f>ABRIL!I13+ABRIL!J13</f>
        <v>1169522</v>
      </c>
      <c r="J14" s="186">
        <v>0</v>
      </c>
      <c r="K14" s="187">
        <f>L14/H14</f>
        <v>4.8730083333333334E-2</v>
      </c>
      <c r="L14" s="188">
        <f t="shared" si="2"/>
        <v>1169522</v>
      </c>
      <c r="M14" s="321">
        <f t="shared" si="9"/>
        <v>1169522</v>
      </c>
      <c r="N14" s="189">
        <f t="shared" si="7"/>
        <v>22830478</v>
      </c>
      <c r="O14" s="190">
        <f t="shared" si="1"/>
        <v>0.95126991666666671</v>
      </c>
      <c r="P14" s="432">
        <f t="shared" si="8"/>
        <v>1169522</v>
      </c>
      <c r="Q14" s="432">
        <f t="shared" si="3"/>
        <v>0</v>
      </c>
      <c r="R14" s="432">
        <f t="shared" si="4"/>
        <v>0</v>
      </c>
    </row>
    <row r="15" spans="1:18" ht="15" x14ac:dyDescent="0.25">
      <c r="A15" s="496" t="s">
        <v>214</v>
      </c>
      <c r="B15" s="182" t="s">
        <v>19</v>
      </c>
      <c r="C15" s="159">
        <v>24787000</v>
      </c>
      <c r="D15" s="184"/>
      <c r="E15" s="457"/>
      <c r="F15" s="458"/>
      <c r="G15" s="459"/>
      <c r="H15" s="185">
        <f t="shared" si="5"/>
        <v>24787000</v>
      </c>
      <c r="I15" s="186">
        <f>ABRIL!I14+ABRIL!J14</f>
        <v>1227342</v>
      </c>
      <c r="J15" s="186">
        <v>1901467</v>
      </c>
      <c r="K15" s="187">
        <f t="shared" si="6"/>
        <v>0.12622782103522007</v>
      </c>
      <c r="L15" s="188">
        <f t="shared" si="2"/>
        <v>3128809</v>
      </c>
      <c r="M15" s="321">
        <f t="shared" si="9"/>
        <v>3128809</v>
      </c>
      <c r="N15" s="189">
        <f t="shared" si="7"/>
        <v>21658191</v>
      </c>
      <c r="O15" s="190">
        <f t="shared" si="1"/>
        <v>0.87377217896477988</v>
      </c>
      <c r="P15" s="432">
        <f t="shared" si="8"/>
        <v>3128809</v>
      </c>
      <c r="Q15" s="432">
        <f t="shared" si="3"/>
        <v>0</v>
      </c>
      <c r="R15" s="432">
        <f t="shared" si="4"/>
        <v>0</v>
      </c>
    </row>
    <row r="16" spans="1:18" ht="15" x14ac:dyDescent="0.25">
      <c r="A16" s="496" t="s">
        <v>215</v>
      </c>
      <c r="B16" s="182" t="s">
        <v>292</v>
      </c>
      <c r="C16" s="159">
        <v>55000000</v>
      </c>
      <c r="D16" s="184"/>
      <c r="E16" s="457"/>
      <c r="F16" s="458"/>
      <c r="G16" s="459"/>
      <c r="H16" s="185">
        <f t="shared" si="5"/>
        <v>55000000</v>
      </c>
      <c r="I16" s="186">
        <f>ABRIL!I15+ABRIL!J15</f>
        <v>939517</v>
      </c>
      <c r="J16" s="186">
        <v>0</v>
      </c>
      <c r="K16" s="187">
        <f t="shared" si="6"/>
        <v>1.7082127272727274E-2</v>
      </c>
      <c r="L16" s="188">
        <f t="shared" si="2"/>
        <v>939517</v>
      </c>
      <c r="M16" s="321">
        <f t="shared" si="9"/>
        <v>939517</v>
      </c>
      <c r="N16" s="189">
        <f t="shared" si="7"/>
        <v>54060483</v>
      </c>
      <c r="O16" s="190">
        <f t="shared" si="1"/>
        <v>0.98291787272727271</v>
      </c>
      <c r="P16" s="432">
        <f t="shared" si="8"/>
        <v>939517</v>
      </c>
      <c r="Q16" s="432">
        <f t="shared" si="3"/>
        <v>0</v>
      </c>
      <c r="R16" s="432">
        <f t="shared" si="4"/>
        <v>0</v>
      </c>
    </row>
    <row r="17" spans="1:18" ht="15" x14ac:dyDescent="0.25">
      <c r="A17" s="496" t="s">
        <v>216</v>
      </c>
      <c r="B17" s="182" t="s">
        <v>20</v>
      </c>
      <c r="C17" s="159">
        <v>41330000</v>
      </c>
      <c r="D17" s="184"/>
      <c r="E17" s="457"/>
      <c r="F17" s="458"/>
      <c r="G17" s="459"/>
      <c r="H17" s="185">
        <f t="shared" si="5"/>
        <v>41330000</v>
      </c>
      <c r="I17" s="186">
        <f>ABRIL!I16+ABRIL!J16</f>
        <v>1949190</v>
      </c>
      <c r="J17" s="186">
        <v>3007690</v>
      </c>
      <c r="K17" s="187">
        <f t="shared" si="6"/>
        <v>0.11993418824098717</v>
      </c>
      <c r="L17" s="188">
        <f t="shared" si="2"/>
        <v>4956880</v>
      </c>
      <c r="M17" s="321">
        <f t="shared" si="9"/>
        <v>4956880</v>
      </c>
      <c r="N17" s="189">
        <f t="shared" si="7"/>
        <v>36373120</v>
      </c>
      <c r="O17" s="190">
        <f t="shared" si="1"/>
        <v>0.88006581175901277</v>
      </c>
      <c r="P17" s="432">
        <f>L17</f>
        <v>4956880</v>
      </c>
      <c r="Q17" s="432">
        <f t="shared" si="3"/>
        <v>0</v>
      </c>
      <c r="R17" s="432">
        <f t="shared" si="4"/>
        <v>0</v>
      </c>
    </row>
    <row r="18" spans="1:18" s="192" customFormat="1" ht="27.75" customHeight="1" x14ac:dyDescent="0.2">
      <c r="A18" s="497">
        <v>20210102</v>
      </c>
      <c r="B18" s="175" t="s">
        <v>130</v>
      </c>
      <c r="C18" s="176">
        <f t="shared" ref="C18:H18" si="10">SUM(C19:C21)</f>
        <v>77000000</v>
      </c>
      <c r="D18" s="176">
        <f t="shared" si="10"/>
        <v>0</v>
      </c>
      <c r="E18" s="176">
        <f t="shared" si="10"/>
        <v>0</v>
      </c>
      <c r="F18" s="176">
        <f t="shared" si="10"/>
        <v>40000000</v>
      </c>
      <c r="G18" s="176">
        <f t="shared" si="10"/>
        <v>0</v>
      </c>
      <c r="H18" s="176">
        <f t="shared" si="10"/>
        <v>117000000</v>
      </c>
      <c r="I18" s="176">
        <f>SUM(I19:I21)</f>
        <v>69400000</v>
      </c>
      <c r="J18" s="176">
        <f>SUM(J19:J21)</f>
        <v>14000000</v>
      </c>
      <c r="K18" s="177">
        <f>L18/H18</f>
        <v>0.71282051282051284</v>
      </c>
      <c r="L18" s="191">
        <f>SUM(L19:L21)</f>
        <v>83400000</v>
      </c>
      <c r="M18" s="191">
        <f>SUM(M19:M21)</f>
        <v>83400000</v>
      </c>
      <c r="N18" s="191">
        <f>SUM(N19:N21)</f>
        <v>33600000</v>
      </c>
      <c r="O18" s="179">
        <f t="shared" si="1"/>
        <v>0.28717948717948716</v>
      </c>
      <c r="P18" s="176">
        <f>SUM(P19:P21)</f>
        <v>27500000</v>
      </c>
      <c r="Q18" s="176">
        <f>SUM(Q19:Q21)</f>
        <v>55900000</v>
      </c>
      <c r="R18" s="176">
        <f>SUM(R19:R21)</f>
        <v>0</v>
      </c>
    </row>
    <row r="19" spans="1:18" ht="15" x14ac:dyDescent="0.25">
      <c r="A19" s="496" t="s">
        <v>217</v>
      </c>
      <c r="B19" s="193" t="s">
        <v>25</v>
      </c>
      <c r="C19" s="159">
        <v>60000000</v>
      </c>
      <c r="D19" s="186"/>
      <c r="E19" s="457"/>
      <c r="F19" s="458">
        <v>20000000</v>
      </c>
      <c r="G19" s="459"/>
      <c r="H19" s="185">
        <f>C19-D19+E19+F19-G19</f>
        <v>80000000</v>
      </c>
      <c r="I19" s="186">
        <f>ABRIL!I18+ABRIL!J18</f>
        <v>48200000</v>
      </c>
      <c r="J19" s="186">
        <v>14000000</v>
      </c>
      <c r="K19" s="187">
        <f>L19/H19</f>
        <v>0.77749999999999997</v>
      </c>
      <c r="L19" s="188">
        <f>J19+I19</f>
        <v>62200000</v>
      </c>
      <c r="M19" s="321">
        <f>I19+J19</f>
        <v>62200000</v>
      </c>
      <c r="N19" s="189">
        <f>H19-L19</f>
        <v>17800000</v>
      </c>
      <c r="O19" s="190">
        <f t="shared" si="1"/>
        <v>0.2225</v>
      </c>
      <c r="P19" s="615">
        <f>4500000+3600000+5400000</f>
        <v>13500000</v>
      </c>
      <c r="Q19" s="432">
        <f>M19-P19</f>
        <v>48700000</v>
      </c>
      <c r="R19" s="432">
        <f>L19-M19</f>
        <v>0</v>
      </c>
    </row>
    <row r="20" spans="1:18" ht="15" x14ac:dyDescent="0.25">
      <c r="A20" s="496" t="s">
        <v>218</v>
      </c>
      <c r="B20" s="182" t="s">
        <v>27</v>
      </c>
      <c r="C20" s="159">
        <v>17000000</v>
      </c>
      <c r="D20" s="186"/>
      <c r="E20" s="457"/>
      <c r="F20" s="458">
        <v>20000000</v>
      </c>
      <c r="G20" s="459"/>
      <c r="H20" s="185">
        <f>C20-D20+E20+F20-G20</f>
        <v>37000000</v>
      </c>
      <c r="I20" s="186">
        <f>ABRIL!I19+ABRIL!J19</f>
        <v>21200000</v>
      </c>
      <c r="J20" s="186">
        <v>0</v>
      </c>
      <c r="K20" s="187">
        <f>L20/H20</f>
        <v>0.572972972972973</v>
      </c>
      <c r="L20" s="188">
        <f>J20+I20</f>
        <v>21200000</v>
      </c>
      <c r="M20" s="321">
        <f>I20+J20</f>
        <v>21200000</v>
      </c>
      <c r="N20" s="189">
        <f>H20-L20</f>
        <v>15800000</v>
      </c>
      <c r="O20" s="190">
        <v>0</v>
      </c>
      <c r="P20" s="615">
        <f>1800000+12200000</f>
        <v>14000000</v>
      </c>
      <c r="Q20" s="432">
        <f>M20-P20</f>
        <v>7200000</v>
      </c>
      <c r="R20" s="432">
        <f>L20-M20</f>
        <v>0</v>
      </c>
    </row>
    <row r="21" spans="1:18" ht="15" x14ac:dyDescent="0.25">
      <c r="A21" s="181">
        <v>2021010203</v>
      </c>
      <c r="B21" s="194" t="s">
        <v>29</v>
      </c>
      <c r="C21" s="183">
        <f>'PAC INICIAL 2021'!C35</f>
        <v>0</v>
      </c>
      <c r="D21" s="186"/>
      <c r="E21" s="457"/>
      <c r="F21" s="458"/>
      <c r="G21" s="459"/>
      <c r="H21" s="185">
        <f>C21-D21+E21+F21-G21</f>
        <v>0</v>
      </c>
      <c r="I21" s="186">
        <f>ABRIL!I20+ABRIL!J20</f>
        <v>0</v>
      </c>
      <c r="J21" s="186">
        <v>0</v>
      </c>
      <c r="K21" s="187">
        <v>0</v>
      </c>
      <c r="L21" s="188">
        <f>J21+I21</f>
        <v>0</v>
      </c>
      <c r="M21" s="321">
        <f>I21+J21</f>
        <v>0</v>
      </c>
      <c r="N21" s="189">
        <f>H21-L21</f>
        <v>0</v>
      </c>
      <c r="O21" s="190">
        <v>0</v>
      </c>
      <c r="P21" s="615">
        <v>0</v>
      </c>
      <c r="Q21" s="432">
        <f>M21-P21</f>
        <v>0</v>
      </c>
      <c r="R21" s="432">
        <f>L21-M21</f>
        <v>0</v>
      </c>
    </row>
    <row r="22" spans="1:18" ht="30" x14ac:dyDescent="0.2">
      <c r="A22" s="497">
        <v>20210103</v>
      </c>
      <c r="B22" s="200" t="s">
        <v>69</v>
      </c>
      <c r="C22" s="201">
        <f t="shared" ref="C22:I22" si="11">SUM(C23:C26)</f>
        <v>73229741</v>
      </c>
      <c r="D22" s="201">
        <f t="shared" si="11"/>
        <v>0</v>
      </c>
      <c r="E22" s="201">
        <f t="shared" si="11"/>
        <v>0</v>
      </c>
      <c r="F22" s="201">
        <f t="shared" si="11"/>
        <v>0</v>
      </c>
      <c r="G22" s="201">
        <f t="shared" si="11"/>
        <v>0</v>
      </c>
      <c r="H22" s="201">
        <f t="shared" si="11"/>
        <v>73229741</v>
      </c>
      <c r="I22" s="201">
        <f t="shared" si="11"/>
        <v>20112960</v>
      </c>
      <c r="J22" s="201">
        <f>SUM(J23:J26)</f>
        <v>0</v>
      </c>
      <c r="K22" s="177">
        <f>L22/H22</f>
        <v>0.2746556211362266</v>
      </c>
      <c r="L22" s="438">
        <f>SUM(L23:L26)</f>
        <v>20112960</v>
      </c>
      <c r="M22" s="438">
        <f>SUM(M23:M26)</f>
        <v>20112960</v>
      </c>
      <c r="N22" s="438">
        <f>SUM(N23:N26)</f>
        <v>53116781</v>
      </c>
      <c r="O22" s="179">
        <f t="shared" ref="O22:O29" si="12">N22/H22</f>
        <v>0.72534437886377334</v>
      </c>
      <c r="P22" s="176">
        <f>SUM(P23:P26)</f>
        <v>20112960</v>
      </c>
      <c r="Q22" s="176">
        <f>SUM(Q23:Q26)</f>
        <v>0</v>
      </c>
      <c r="R22" s="176">
        <f>SUM(R23:R26)</f>
        <v>0</v>
      </c>
    </row>
    <row r="23" spans="1:18" ht="15" x14ac:dyDescent="0.25">
      <c r="A23" s="496" t="s">
        <v>220</v>
      </c>
      <c r="B23" s="194" t="s">
        <v>71</v>
      </c>
      <c r="C23" s="159">
        <v>6000083</v>
      </c>
      <c r="D23" s="184"/>
      <c r="E23" s="457"/>
      <c r="F23" s="458"/>
      <c r="G23" s="459"/>
      <c r="H23" s="185">
        <f>C23-D23+E23+F23-G23</f>
        <v>6000083</v>
      </c>
      <c r="I23" s="186">
        <f>ABRIL!I22+ABRIL!J22</f>
        <v>959897</v>
      </c>
      <c r="J23" s="186">
        <v>0</v>
      </c>
      <c r="K23" s="187">
        <f t="shared" ref="K23:K29" si="13">L23/H23</f>
        <v>0.15998062026808629</v>
      </c>
      <c r="L23" s="188">
        <f>J23+I23</f>
        <v>959897</v>
      </c>
      <c r="M23" s="321">
        <f>I23+J23</f>
        <v>959897</v>
      </c>
      <c r="N23" s="189">
        <f>H23-L23</f>
        <v>5040186</v>
      </c>
      <c r="O23" s="190">
        <f t="shared" si="12"/>
        <v>0.84001937973191376</v>
      </c>
      <c r="P23" s="432">
        <f>M23</f>
        <v>959897</v>
      </c>
      <c r="Q23" s="432">
        <f>M23-P23</f>
        <v>0</v>
      </c>
      <c r="R23" s="432">
        <f>L23-M23</f>
        <v>0</v>
      </c>
    </row>
    <row r="24" spans="1:18" ht="15" x14ac:dyDescent="0.25">
      <c r="A24" s="496" t="s">
        <v>219</v>
      </c>
      <c r="B24" s="194" t="s">
        <v>73</v>
      </c>
      <c r="C24" s="159">
        <v>46429658</v>
      </c>
      <c r="D24" s="184"/>
      <c r="E24" s="457"/>
      <c r="F24" s="458"/>
      <c r="G24" s="459"/>
      <c r="H24" s="185">
        <f>C24-D24+E24+F24-G24</f>
        <v>46429658</v>
      </c>
      <c r="I24" s="186">
        <f>ABRIL!I23+ABRIL!J23</f>
        <v>16152324</v>
      </c>
      <c r="J24" s="186">
        <v>0</v>
      </c>
      <c r="K24" s="187">
        <f t="shared" si="13"/>
        <v>0.34788806757956303</v>
      </c>
      <c r="L24" s="188">
        <f>J24+I24</f>
        <v>16152324</v>
      </c>
      <c r="M24" s="321">
        <f>I24+J24</f>
        <v>16152324</v>
      </c>
      <c r="N24" s="189">
        <f>H24-L24</f>
        <v>30277334</v>
      </c>
      <c r="O24" s="190">
        <f t="shared" si="12"/>
        <v>0.65211193242043697</v>
      </c>
      <c r="P24" s="432">
        <f>L24</f>
        <v>16152324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221</v>
      </c>
      <c r="B25" s="194" t="s">
        <v>74</v>
      </c>
      <c r="C25" s="159">
        <v>14000000</v>
      </c>
      <c r="D25" s="184"/>
      <c r="E25" s="457"/>
      <c r="F25" s="458"/>
      <c r="G25" s="459"/>
      <c r="H25" s="185">
        <f>C25-D25+E25+F25-G25</f>
        <v>14000000</v>
      </c>
      <c r="I25" s="186">
        <f>ABRIL!I24+ABRIL!J24</f>
        <v>2885551</v>
      </c>
      <c r="J25" s="186">
        <v>0</v>
      </c>
      <c r="K25" s="187">
        <f t="shared" si="13"/>
        <v>0.2061107857142857</v>
      </c>
      <c r="L25" s="188">
        <f>J25+I25</f>
        <v>2885551</v>
      </c>
      <c r="M25" s="321">
        <f>I25+J25</f>
        <v>2885551</v>
      </c>
      <c r="N25" s="189">
        <f>H25-L25</f>
        <v>11114449</v>
      </c>
      <c r="O25" s="190">
        <f t="shared" si="12"/>
        <v>0.79388921428571424</v>
      </c>
      <c r="P25" s="432">
        <f>L25</f>
        <v>2885551</v>
      </c>
      <c r="Q25" s="432">
        <f>M25-P25</f>
        <v>0</v>
      </c>
      <c r="R25" s="432">
        <f>L25-M25</f>
        <v>0</v>
      </c>
    </row>
    <row r="26" spans="1:18" ht="15" x14ac:dyDescent="0.25">
      <c r="A26" s="496" t="s">
        <v>222</v>
      </c>
      <c r="B26" s="194" t="s">
        <v>75</v>
      </c>
      <c r="C26" s="159">
        <v>6800000</v>
      </c>
      <c r="D26" s="202"/>
      <c r="E26" s="457"/>
      <c r="F26" s="458"/>
      <c r="G26" s="459"/>
      <c r="H26" s="185">
        <f>C26-D26+E26+F26-G26</f>
        <v>6800000</v>
      </c>
      <c r="I26" s="186">
        <f>ABRIL!I25+ABRIL!J25</f>
        <v>115188</v>
      </c>
      <c r="J26" s="186">
        <v>0</v>
      </c>
      <c r="K26" s="187">
        <f t="shared" si="13"/>
        <v>1.6939411764705883E-2</v>
      </c>
      <c r="L26" s="188">
        <f>J26+I26</f>
        <v>115188</v>
      </c>
      <c r="M26" s="321">
        <f>I26+J26</f>
        <v>115188</v>
      </c>
      <c r="N26" s="189">
        <f>H26-L26</f>
        <v>6684812</v>
      </c>
      <c r="O26" s="190">
        <f t="shared" si="12"/>
        <v>0.98306058823529407</v>
      </c>
      <c r="P26" s="432">
        <f>L26</f>
        <v>115188</v>
      </c>
      <c r="Q26" s="432">
        <f>M26-P26</f>
        <v>0</v>
      </c>
      <c r="R26" s="432">
        <f>L26-M26</f>
        <v>0</v>
      </c>
    </row>
    <row r="27" spans="1:18" ht="35.25" customHeight="1" x14ac:dyDescent="0.2">
      <c r="A27" s="497">
        <v>20210104</v>
      </c>
      <c r="B27" s="200" t="s">
        <v>76</v>
      </c>
      <c r="C27" s="201">
        <f t="shared" ref="C27:I27" si="14">SUM(C28:C38)</f>
        <v>133100000</v>
      </c>
      <c r="D27" s="201">
        <f t="shared" si="14"/>
        <v>0</v>
      </c>
      <c r="E27" s="201">
        <f t="shared" si="14"/>
        <v>30000000</v>
      </c>
      <c r="F27" s="201">
        <f t="shared" si="14"/>
        <v>3000000</v>
      </c>
      <c r="G27" s="201">
        <f t="shared" si="14"/>
        <v>0</v>
      </c>
      <c r="H27" s="201">
        <f t="shared" si="14"/>
        <v>166100000</v>
      </c>
      <c r="I27" s="176">
        <f t="shared" si="14"/>
        <v>50320429</v>
      </c>
      <c r="J27" s="176">
        <f>SUM(J28:J38)</f>
        <v>0</v>
      </c>
      <c r="K27" s="177">
        <f t="shared" si="13"/>
        <v>0.30295261288380493</v>
      </c>
      <c r="L27" s="178">
        <f>SUM(L28:L38)</f>
        <v>50320429</v>
      </c>
      <c r="M27" s="191">
        <f>SUM(M28:M38)</f>
        <v>50320429</v>
      </c>
      <c r="N27" s="191">
        <f>SUM(N28:N38)</f>
        <v>115779571</v>
      </c>
      <c r="O27" s="179">
        <f t="shared" si="12"/>
        <v>0.69704738711619507</v>
      </c>
      <c r="P27" s="176">
        <f>SUM(P28:P38)</f>
        <v>50320429</v>
      </c>
      <c r="Q27" s="176">
        <f>SUM(Q28:Q38)</f>
        <v>0</v>
      </c>
      <c r="R27" s="176">
        <f>SUM(R28:R44)</f>
        <v>0</v>
      </c>
    </row>
    <row r="28" spans="1:18" ht="15" x14ac:dyDescent="0.25">
      <c r="A28" s="496" t="s">
        <v>223</v>
      </c>
      <c r="B28" s="194" t="s">
        <v>78</v>
      </c>
      <c r="C28" s="159">
        <v>12000000</v>
      </c>
      <c r="D28" s="184"/>
      <c r="E28" s="457"/>
      <c r="F28" s="458">
        <v>3000000</v>
      </c>
      <c r="G28" s="459"/>
      <c r="H28" s="185">
        <f t="shared" ref="H28:H38" si="15">C28-D28+E28+F28-G28</f>
        <v>15000000</v>
      </c>
      <c r="I28" s="186">
        <f>ABRIL!I27+ABRIL!J27</f>
        <v>12343990</v>
      </c>
      <c r="J28" s="186">
        <v>0</v>
      </c>
      <c r="K28" s="187">
        <f t="shared" si="13"/>
        <v>0.82293266666666665</v>
      </c>
      <c r="L28" s="188">
        <f t="shared" ref="L28:L38" si="16">J28+I28</f>
        <v>12343990</v>
      </c>
      <c r="M28" s="321">
        <f>I28+J28</f>
        <v>12343990</v>
      </c>
      <c r="N28" s="189">
        <f t="shared" ref="N28:N38" si="17">H28-L28</f>
        <v>2656010</v>
      </c>
      <c r="O28" s="190">
        <f t="shared" si="12"/>
        <v>0.17706733333333333</v>
      </c>
      <c r="P28" s="188">
        <f>L28-J28</f>
        <v>12343990</v>
      </c>
      <c r="Q28" s="432">
        <f t="shared" ref="Q28:Q38" si="18">M28-P28</f>
        <v>0</v>
      </c>
      <c r="R28" s="432">
        <f t="shared" ref="R28:R44" si="19">L28-M28</f>
        <v>0</v>
      </c>
    </row>
    <row r="29" spans="1:18" ht="15" x14ac:dyDescent="0.25">
      <c r="A29" s="496">
        <v>2021010401</v>
      </c>
      <c r="B29" s="194" t="s">
        <v>295</v>
      </c>
      <c r="C29" s="159"/>
      <c r="D29" s="184"/>
      <c r="E29" s="457">
        <v>30000000</v>
      </c>
      <c r="F29" s="458"/>
      <c r="G29" s="459"/>
      <c r="H29" s="185">
        <f t="shared" si="15"/>
        <v>30000000</v>
      </c>
      <c r="I29" s="186">
        <v>0</v>
      </c>
      <c r="J29" s="186">
        <v>0</v>
      </c>
      <c r="K29" s="187">
        <f t="shared" si="13"/>
        <v>0</v>
      </c>
      <c r="L29" s="188">
        <f t="shared" si="16"/>
        <v>0</v>
      </c>
      <c r="M29" s="321">
        <f>I29+J29</f>
        <v>0</v>
      </c>
      <c r="N29" s="189">
        <f t="shared" si="17"/>
        <v>30000000</v>
      </c>
      <c r="O29" s="190">
        <f t="shared" si="12"/>
        <v>1</v>
      </c>
      <c r="P29" s="188">
        <f>L29-J29</f>
        <v>0</v>
      </c>
      <c r="Q29" s="432"/>
      <c r="R29" s="432"/>
    </row>
    <row r="30" spans="1:18" ht="15" x14ac:dyDescent="0.25">
      <c r="A30" s="181">
        <v>2021010402</v>
      </c>
      <c r="B30" s="194" t="s">
        <v>73</v>
      </c>
      <c r="C30" s="159">
        <v>0</v>
      </c>
      <c r="D30" s="184"/>
      <c r="E30" s="457"/>
      <c r="F30" s="458"/>
      <c r="G30" s="459"/>
      <c r="H30" s="185">
        <f t="shared" si="15"/>
        <v>0</v>
      </c>
      <c r="I30" s="186">
        <f>ABRIL!I28+ABRIL!J28</f>
        <v>0</v>
      </c>
      <c r="J30" s="186">
        <v>0</v>
      </c>
      <c r="K30" s="187">
        <v>0</v>
      </c>
      <c r="L30" s="196">
        <f t="shared" si="16"/>
        <v>0</v>
      </c>
      <c r="M30" s="321">
        <f t="shared" ref="M30:M38" si="20">I30+J30</f>
        <v>0</v>
      </c>
      <c r="N30" s="189">
        <f t="shared" si="17"/>
        <v>0</v>
      </c>
      <c r="O30" s="190">
        <v>0</v>
      </c>
      <c r="P30" s="188">
        <f t="shared" ref="P30:P38" si="21">L30</f>
        <v>0</v>
      </c>
      <c r="Q30" s="432">
        <f t="shared" si="18"/>
        <v>0</v>
      </c>
      <c r="R30" s="432">
        <f t="shared" si="19"/>
        <v>0</v>
      </c>
    </row>
    <row r="31" spans="1:18" ht="15" x14ac:dyDescent="0.25">
      <c r="A31" s="496" t="s">
        <v>224</v>
      </c>
      <c r="B31" s="194" t="s">
        <v>81</v>
      </c>
      <c r="C31" s="159">
        <v>3900000</v>
      </c>
      <c r="D31" s="184"/>
      <c r="E31" s="457"/>
      <c r="F31" s="458"/>
      <c r="G31" s="459"/>
      <c r="H31" s="185">
        <f t="shared" si="15"/>
        <v>3900000</v>
      </c>
      <c r="I31" s="186">
        <f>ABRIL!I29+ABRIL!J29</f>
        <v>938200</v>
      </c>
      <c r="J31" s="186">
        <v>0</v>
      </c>
      <c r="K31" s="187">
        <f t="shared" ref="K31:K37" si="22">L31/H31</f>
        <v>0.24056410256410257</v>
      </c>
      <c r="L31" s="188">
        <f t="shared" si="16"/>
        <v>938200</v>
      </c>
      <c r="M31" s="321">
        <f t="shared" si="20"/>
        <v>938200</v>
      </c>
      <c r="N31" s="189">
        <f t="shared" si="17"/>
        <v>2961800</v>
      </c>
      <c r="O31" s="190">
        <f t="shared" ref="O31:O37" si="23">N31/H31</f>
        <v>0.75943589743589746</v>
      </c>
      <c r="P31" s="188">
        <f>L31</f>
        <v>938200</v>
      </c>
      <c r="Q31" s="432">
        <f t="shared" si="18"/>
        <v>0</v>
      </c>
      <c r="R31" s="432">
        <f t="shared" si="19"/>
        <v>0</v>
      </c>
    </row>
    <row r="32" spans="1:18" ht="15" x14ac:dyDescent="0.25">
      <c r="A32" s="496" t="s">
        <v>225</v>
      </c>
      <c r="B32" s="194" t="s">
        <v>74</v>
      </c>
      <c r="C32" s="159">
        <v>52000000</v>
      </c>
      <c r="D32" s="184"/>
      <c r="E32" s="457"/>
      <c r="F32" s="458"/>
      <c r="G32" s="459"/>
      <c r="H32" s="185">
        <f t="shared" si="15"/>
        <v>52000000</v>
      </c>
      <c r="I32" s="186">
        <f>ABRIL!I30+ABRIL!J30</f>
        <v>19890339</v>
      </c>
      <c r="J32" s="186">
        <v>0</v>
      </c>
      <c r="K32" s="187">
        <f t="shared" si="22"/>
        <v>0.38250651923076923</v>
      </c>
      <c r="L32" s="188">
        <f t="shared" si="16"/>
        <v>19890339</v>
      </c>
      <c r="M32" s="321">
        <f t="shared" si="20"/>
        <v>19890339</v>
      </c>
      <c r="N32" s="189">
        <f t="shared" si="17"/>
        <v>32109661</v>
      </c>
      <c r="O32" s="190">
        <f t="shared" si="23"/>
        <v>0.61749348076923072</v>
      </c>
      <c r="P32" s="188">
        <f>L32</f>
        <v>19890339</v>
      </c>
      <c r="Q32" s="432">
        <f t="shared" si="18"/>
        <v>0</v>
      </c>
      <c r="R32" s="432">
        <f t="shared" si="19"/>
        <v>0</v>
      </c>
    </row>
    <row r="33" spans="1:18" ht="15" x14ac:dyDescent="0.25">
      <c r="A33" s="496" t="s">
        <v>226</v>
      </c>
      <c r="B33" s="194" t="s">
        <v>84</v>
      </c>
      <c r="C33" s="159">
        <v>27000000</v>
      </c>
      <c r="D33" s="184"/>
      <c r="E33" s="457"/>
      <c r="F33" s="458"/>
      <c r="G33" s="459"/>
      <c r="H33" s="185">
        <f t="shared" si="15"/>
        <v>27000000</v>
      </c>
      <c r="I33" s="186">
        <f>ABRIL!I31+ABRIL!J31</f>
        <v>7619100</v>
      </c>
      <c r="J33" s="209">
        <v>0</v>
      </c>
      <c r="K33" s="187">
        <f t="shared" si="22"/>
        <v>0.28218888888888888</v>
      </c>
      <c r="L33" s="188">
        <f t="shared" si="16"/>
        <v>7619100</v>
      </c>
      <c r="M33" s="321">
        <f t="shared" si="20"/>
        <v>7619100</v>
      </c>
      <c r="N33" s="189">
        <f t="shared" si="17"/>
        <v>19380900</v>
      </c>
      <c r="O33" s="190">
        <f t="shared" si="23"/>
        <v>0.71781111111111107</v>
      </c>
      <c r="P33" s="188">
        <f t="shared" si="21"/>
        <v>7619100</v>
      </c>
      <c r="Q33" s="432">
        <f t="shared" si="18"/>
        <v>0</v>
      </c>
      <c r="R33" s="432">
        <f t="shared" si="19"/>
        <v>0</v>
      </c>
    </row>
    <row r="34" spans="1:18" ht="15" x14ac:dyDescent="0.25">
      <c r="A34" s="496" t="s">
        <v>227</v>
      </c>
      <c r="B34" s="194" t="s">
        <v>86</v>
      </c>
      <c r="C34" s="159">
        <v>23000000</v>
      </c>
      <c r="D34" s="184"/>
      <c r="E34" s="457"/>
      <c r="F34" s="458"/>
      <c r="G34" s="459"/>
      <c r="H34" s="185">
        <f t="shared" si="15"/>
        <v>23000000</v>
      </c>
      <c r="I34" s="186">
        <f>ABRIL!I32+ABRIL!J32</f>
        <v>5714200</v>
      </c>
      <c r="J34" s="186">
        <v>0</v>
      </c>
      <c r="K34" s="187">
        <f t="shared" si="22"/>
        <v>0.24844347826086957</v>
      </c>
      <c r="L34" s="188">
        <f t="shared" si="16"/>
        <v>5714200</v>
      </c>
      <c r="M34" s="321">
        <f t="shared" si="20"/>
        <v>5714200</v>
      </c>
      <c r="N34" s="189">
        <f t="shared" si="17"/>
        <v>17285800</v>
      </c>
      <c r="O34" s="190">
        <f t="shared" si="23"/>
        <v>0.75155652173913046</v>
      </c>
      <c r="P34" s="188">
        <f>L34</f>
        <v>5714200</v>
      </c>
      <c r="Q34" s="432">
        <f t="shared" si="18"/>
        <v>0</v>
      </c>
      <c r="R34" s="432">
        <f t="shared" si="19"/>
        <v>0</v>
      </c>
    </row>
    <row r="35" spans="1:18" ht="15" x14ac:dyDescent="0.25">
      <c r="A35" s="496" t="s">
        <v>228</v>
      </c>
      <c r="B35" s="194" t="s">
        <v>88</v>
      </c>
      <c r="C35" s="159">
        <v>4000000</v>
      </c>
      <c r="D35" s="184"/>
      <c r="E35" s="457"/>
      <c r="F35" s="458"/>
      <c r="G35" s="459"/>
      <c r="H35" s="185">
        <f t="shared" si="15"/>
        <v>4000000</v>
      </c>
      <c r="I35" s="186">
        <f>ABRIL!I33+ABRIL!J33</f>
        <v>954100</v>
      </c>
      <c r="J35" s="186">
        <v>0</v>
      </c>
      <c r="K35" s="187">
        <f t="shared" si="22"/>
        <v>0.23852499999999999</v>
      </c>
      <c r="L35" s="188">
        <f t="shared" si="16"/>
        <v>954100</v>
      </c>
      <c r="M35" s="321">
        <f t="shared" si="20"/>
        <v>954100</v>
      </c>
      <c r="N35" s="189">
        <f t="shared" si="17"/>
        <v>3045900</v>
      </c>
      <c r="O35" s="190">
        <f t="shared" si="23"/>
        <v>0.76147500000000001</v>
      </c>
      <c r="P35" s="188">
        <f t="shared" si="21"/>
        <v>954100</v>
      </c>
      <c r="Q35" s="432">
        <f t="shared" si="18"/>
        <v>0</v>
      </c>
      <c r="R35" s="432">
        <f t="shared" si="19"/>
        <v>0</v>
      </c>
    </row>
    <row r="36" spans="1:18" ht="15" x14ac:dyDescent="0.25">
      <c r="A36" s="496" t="s">
        <v>229</v>
      </c>
      <c r="B36" s="194" t="s">
        <v>90</v>
      </c>
      <c r="C36" s="159">
        <v>4000000</v>
      </c>
      <c r="D36" s="184"/>
      <c r="E36" s="457"/>
      <c r="F36" s="458"/>
      <c r="G36" s="459"/>
      <c r="H36" s="185">
        <f t="shared" si="15"/>
        <v>4000000</v>
      </c>
      <c r="I36" s="186">
        <f>ABRIL!I34+ABRIL!J34</f>
        <v>954100</v>
      </c>
      <c r="J36" s="186">
        <v>0</v>
      </c>
      <c r="K36" s="187">
        <f t="shared" si="22"/>
        <v>0.23852499999999999</v>
      </c>
      <c r="L36" s="188">
        <f t="shared" si="16"/>
        <v>954100</v>
      </c>
      <c r="M36" s="321">
        <f t="shared" si="20"/>
        <v>954100</v>
      </c>
      <c r="N36" s="189">
        <f t="shared" si="17"/>
        <v>3045900</v>
      </c>
      <c r="O36" s="190">
        <f t="shared" si="23"/>
        <v>0.76147500000000001</v>
      </c>
      <c r="P36" s="188">
        <f t="shared" si="21"/>
        <v>954100</v>
      </c>
      <c r="Q36" s="432">
        <f t="shared" si="18"/>
        <v>0</v>
      </c>
      <c r="R36" s="432">
        <f t="shared" si="19"/>
        <v>0</v>
      </c>
    </row>
    <row r="37" spans="1:18" ht="15" x14ac:dyDescent="0.25">
      <c r="A37" s="496" t="s">
        <v>230</v>
      </c>
      <c r="B37" s="194" t="s">
        <v>92</v>
      </c>
      <c r="C37" s="159">
        <v>7200000</v>
      </c>
      <c r="D37" s="184"/>
      <c r="E37" s="457"/>
      <c r="F37" s="458"/>
      <c r="G37" s="459"/>
      <c r="H37" s="185">
        <f t="shared" si="15"/>
        <v>7200000</v>
      </c>
      <c r="I37" s="186">
        <f>ABRIL!I35+ABRIL!J35</f>
        <v>1906400</v>
      </c>
      <c r="J37" s="186">
        <v>0</v>
      </c>
      <c r="K37" s="187">
        <f t="shared" si="22"/>
        <v>0.26477777777777778</v>
      </c>
      <c r="L37" s="188">
        <f t="shared" si="16"/>
        <v>1906400</v>
      </c>
      <c r="M37" s="321">
        <f t="shared" si="20"/>
        <v>1906400</v>
      </c>
      <c r="N37" s="189">
        <f t="shared" si="17"/>
        <v>5293600</v>
      </c>
      <c r="O37" s="190">
        <f t="shared" si="23"/>
        <v>0.73522222222222222</v>
      </c>
      <c r="P37" s="188">
        <f t="shared" si="21"/>
        <v>1906400</v>
      </c>
      <c r="Q37" s="432">
        <f t="shared" si="18"/>
        <v>0</v>
      </c>
      <c r="R37" s="432">
        <f t="shared" si="19"/>
        <v>0</v>
      </c>
    </row>
    <row r="38" spans="1:18" ht="15" x14ac:dyDescent="0.25">
      <c r="A38" s="181">
        <v>2021010410</v>
      </c>
      <c r="B38" s="194" t="s">
        <v>94</v>
      </c>
      <c r="C38" s="159">
        <v>0</v>
      </c>
      <c r="D38" s="186"/>
      <c r="E38" s="457"/>
      <c r="F38" s="458"/>
      <c r="G38" s="459"/>
      <c r="H38" s="185">
        <f t="shared" si="15"/>
        <v>0</v>
      </c>
      <c r="I38" s="186">
        <f>ABRIL!I36+ABRIL!J36</f>
        <v>0</v>
      </c>
      <c r="J38" s="186">
        <v>0</v>
      </c>
      <c r="K38" s="187">
        <v>0</v>
      </c>
      <c r="L38" s="196">
        <f t="shared" si="16"/>
        <v>0</v>
      </c>
      <c r="M38" s="321">
        <f t="shared" si="20"/>
        <v>0</v>
      </c>
      <c r="N38" s="189">
        <f t="shared" si="17"/>
        <v>0</v>
      </c>
      <c r="O38" s="190">
        <v>0</v>
      </c>
      <c r="P38" s="188">
        <f t="shared" si="21"/>
        <v>0</v>
      </c>
      <c r="Q38" s="432">
        <f t="shared" si="18"/>
        <v>0</v>
      </c>
      <c r="R38" s="432">
        <f t="shared" si="19"/>
        <v>0</v>
      </c>
    </row>
    <row r="39" spans="1:18" s="192" customFormat="1" ht="27.75" customHeight="1" x14ac:dyDescent="0.2">
      <c r="A39" s="498">
        <v>20210201</v>
      </c>
      <c r="B39" s="195" t="s">
        <v>31</v>
      </c>
      <c r="C39" s="176">
        <f t="shared" ref="C39:J39" si="24">SUM(C40:C43)</f>
        <v>27300000</v>
      </c>
      <c r="D39" s="176">
        <f t="shared" si="24"/>
        <v>0</v>
      </c>
      <c r="E39" s="176">
        <f t="shared" si="24"/>
        <v>0</v>
      </c>
      <c r="F39" s="176">
        <f t="shared" si="24"/>
        <v>10300000</v>
      </c>
      <c r="G39" s="176">
        <f t="shared" si="24"/>
        <v>0</v>
      </c>
      <c r="H39" s="176">
        <f t="shared" si="24"/>
        <v>37600000</v>
      </c>
      <c r="I39" s="176">
        <f t="shared" si="24"/>
        <v>23487000</v>
      </c>
      <c r="J39" s="176">
        <f t="shared" si="24"/>
        <v>1300000</v>
      </c>
      <c r="K39" s="177">
        <f>L39/H39</f>
        <v>0.65922872340425531</v>
      </c>
      <c r="L39" s="191">
        <f>SUM(L40:L43)</f>
        <v>24787000</v>
      </c>
      <c r="M39" s="191">
        <f>SUM(M40:M43)</f>
        <v>24787000</v>
      </c>
      <c r="N39" s="176">
        <f>SUM(N40:N43)</f>
        <v>12813000</v>
      </c>
      <c r="O39" s="179">
        <f>N39/H39</f>
        <v>0.34077127659574469</v>
      </c>
      <c r="P39" s="176">
        <f>SUM(P40:P43)</f>
        <v>24787000</v>
      </c>
      <c r="Q39" s="176">
        <f>SUM(Q40:Q43)</f>
        <v>0</v>
      </c>
      <c r="R39" s="176">
        <f t="shared" si="19"/>
        <v>0</v>
      </c>
    </row>
    <row r="40" spans="1:18" ht="15" x14ac:dyDescent="0.25">
      <c r="A40" s="496" t="s">
        <v>231</v>
      </c>
      <c r="B40" s="194" t="s">
        <v>33</v>
      </c>
      <c r="C40" s="159">
        <v>6000000</v>
      </c>
      <c r="D40" s="186"/>
      <c r="E40" s="457"/>
      <c r="F40" s="458"/>
      <c r="G40" s="459"/>
      <c r="H40" s="185">
        <f>C40-D40+E40+F40-G40</f>
        <v>6000000</v>
      </c>
      <c r="I40" s="186">
        <f>ABRIL!I38+ABRIL!J38</f>
        <v>0</v>
      </c>
      <c r="J40" s="186">
        <v>0</v>
      </c>
      <c r="K40" s="187">
        <v>0</v>
      </c>
      <c r="L40" s="188">
        <f>J40+I40</f>
        <v>0</v>
      </c>
      <c r="M40" s="321">
        <f>I40+J40</f>
        <v>0</v>
      </c>
      <c r="N40" s="189">
        <f>H40-L40</f>
        <v>6000000</v>
      </c>
      <c r="O40" s="190">
        <v>0</v>
      </c>
      <c r="P40" s="432">
        <f>M40</f>
        <v>0</v>
      </c>
      <c r="Q40" s="432">
        <f>M40-P40</f>
        <v>0</v>
      </c>
      <c r="R40" s="432">
        <f t="shared" si="19"/>
        <v>0</v>
      </c>
    </row>
    <row r="41" spans="1:18" ht="15" x14ac:dyDescent="0.25">
      <c r="A41" s="496">
        <v>2021020102</v>
      </c>
      <c r="B41" s="197" t="s">
        <v>35</v>
      </c>
      <c r="C41" s="159">
        <v>20000000</v>
      </c>
      <c r="D41" s="186"/>
      <c r="E41" s="457"/>
      <c r="F41" s="458">
        <v>10000000</v>
      </c>
      <c r="G41" s="459"/>
      <c r="H41" s="185">
        <f>C41-D41+E41+F41-G41</f>
        <v>30000000</v>
      </c>
      <c r="I41" s="186">
        <f>ABRIL!I39+ABRIL!J39</f>
        <v>21887000</v>
      </c>
      <c r="J41" s="186">
        <v>1300000</v>
      </c>
      <c r="K41" s="187">
        <f>L41/H41</f>
        <v>0.77290000000000003</v>
      </c>
      <c r="L41" s="188">
        <f>J41+I41</f>
        <v>23187000</v>
      </c>
      <c r="M41" s="321">
        <f>I41+J41</f>
        <v>23187000</v>
      </c>
      <c r="N41" s="189">
        <f>H41-L41</f>
        <v>6813000</v>
      </c>
      <c r="O41" s="198">
        <f>N41/H41</f>
        <v>0.2271</v>
      </c>
      <c r="P41" s="432">
        <f>M41</f>
        <v>23187000</v>
      </c>
      <c r="Q41" s="432">
        <f>M41-P41</f>
        <v>0</v>
      </c>
      <c r="R41" s="432">
        <f t="shared" si="19"/>
        <v>0</v>
      </c>
    </row>
    <row r="42" spans="1:18" ht="15" x14ac:dyDescent="0.25">
      <c r="A42" s="496" t="s">
        <v>233</v>
      </c>
      <c r="B42" s="194" t="s">
        <v>37</v>
      </c>
      <c r="C42" s="159">
        <v>1300000</v>
      </c>
      <c r="D42" s="186"/>
      <c r="E42" s="457"/>
      <c r="F42" s="458">
        <v>300000</v>
      </c>
      <c r="G42" s="459"/>
      <c r="H42" s="185">
        <f>C42-D42+E42+F42-G42</f>
        <v>1600000</v>
      </c>
      <c r="I42" s="186">
        <f>ABRIL!I40+ABRIL!J40</f>
        <v>1600000</v>
      </c>
      <c r="J42" s="186">
        <v>0</v>
      </c>
      <c r="K42" s="187">
        <f>L42/H42</f>
        <v>1</v>
      </c>
      <c r="L42" s="188">
        <f>J42+I42</f>
        <v>1600000</v>
      </c>
      <c r="M42" s="321">
        <f>I42+J42</f>
        <v>1600000</v>
      </c>
      <c r="N42" s="189">
        <f>H42-L42</f>
        <v>0</v>
      </c>
      <c r="O42" s="198">
        <f>N42/H42</f>
        <v>0</v>
      </c>
      <c r="P42" s="188">
        <f>L42</f>
        <v>1600000</v>
      </c>
      <c r="Q42" s="432">
        <f>M42-P42</f>
        <v>0</v>
      </c>
      <c r="R42" s="432">
        <f t="shared" si="19"/>
        <v>0</v>
      </c>
    </row>
    <row r="43" spans="1:18" ht="15" x14ac:dyDescent="0.25">
      <c r="A43" s="181">
        <v>202120105</v>
      </c>
      <c r="B43" s="194" t="s">
        <v>39</v>
      </c>
      <c r="C43" s="159">
        <v>0</v>
      </c>
      <c r="D43" s="186"/>
      <c r="E43" s="457"/>
      <c r="F43" s="458"/>
      <c r="G43" s="459"/>
      <c r="H43" s="185">
        <f>C43-D43+E43+F43-G43</f>
        <v>0</v>
      </c>
      <c r="I43" s="186">
        <f>ABRIL!I41+ABRIL!J41</f>
        <v>0</v>
      </c>
      <c r="J43" s="186">
        <v>0</v>
      </c>
      <c r="K43" s="187">
        <v>0</v>
      </c>
      <c r="L43" s="196">
        <f>J43+I43</f>
        <v>0</v>
      </c>
      <c r="M43" s="321">
        <f>I43+J43</f>
        <v>0</v>
      </c>
      <c r="N43" s="189">
        <f>H43-L43</f>
        <v>0</v>
      </c>
      <c r="O43" s="198">
        <v>0</v>
      </c>
      <c r="P43" s="188">
        <f>L43</f>
        <v>0</v>
      </c>
      <c r="Q43" s="432">
        <f>M43-P43</f>
        <v>0</v>
      </c>
      <c r="R43" s="432">
        <f t="shared" si="19"/>
        <v>0</v>
      </c>
    </row>
    <row r="44" spans="1:18" s="192" customFormat="1" ht="27.75" customHeight="1" x14ac:dyDescent="0.2">
      <c r="A44" s="498" t="s">
        <v>235</v>
      </c>
      <c r="B44" s="195" t="s">
        <v>41</v>
      </c>
      <c r="C44" s="176">
        <f t="shared" ref="C44:I44" si="25">SUM(C45:C60)</f>
        <v>158227607</v>
      </c>
      <c r="D44" s="176">
        <f t="shared" si="25"/>
        <v>0</v>
      </c>
      <c r="E44" s="176">
        <f t="shared" si="25"/>
        <v>0</v>
      </c>
      <c r="F44" s="176">
        <f t="shared" si="25"/>
        <v>13000000</v>
      </c>
      <c r="G44" s="176">
        <f t="shared" si="25"/>
        <v>0</v>
      </c>
      <c r="H44" s="176">
        <f t="shared" si="25"/>
        <v>171227607</v>
      </c>
      <c r="I44" s="176">
        <f t="shared" si="25"/>
        <v>42437559</v>
      </c>
      <c r="J44" s="176">
        <f>SUM(J45:J60)</f>
        <v>7109823</v>
      </c>
      <c r="K44" s="177">
        <f>L44/H44</f>
        <v>0.28936561614156064</v>
      </c>
      <c r="L44" s="178">
        <f>SUM(L45:L60)</f>
        <v>49547382</v>
      </c>
      <c r="M44" s="178">
        <f>SUM(M45:M60)</f>
        <v>49547382</v>
      </c>
      <c r="N44" s="191">
        <f>SUM(N45:N60)</f>
        <v>121680225</v>
      </c>
      <c r="O44" s="179">
        <f t="shared" ref="O44:O49" si="26">N44/H44</f>
        <v>0.71063438385843936</v>
      </c>
      <c r="P44" s="191">
        <f>SUM(P45:P60)</f>
        <v>49547382</v>
      </c>
      <c r="Q44" s="191">
        <f>SUM(Q45:Q60)</f>
        <v>0</v>
      </c>
      <c r="R44" s="191">
        <f t="shared" si="19"/>
        <v>0</v>
      </c>
    </row>
    <row r="45" spans="1:18" ht="15.75" x14ac:dyDescent="0.25">
      <c r="A45" s="496">
        <v>2021020201</v>
      </c>
      <c r="B45" s="194" t="s">
        <v>43</v>
      </c>
      <c r="C45" s="159">
        <v>9400000</v>
      </c>
      <c r="D45" s="186"/>
      <c r="E45" s="457"/>
      <c r="F45" s="458">
        <v>3000000</v>
      </c>
      <c r="G45" s="459"/>
      <c r="H45" s="185">
        <f t="shared" ref="H45:H60" si="27">C45-D45+E45+F45-G45</f>
        <v>12400000</v>
      </c>
      <c r="I45" s="186">
        <f>ABRIL!I43+ABRIL!J43</f>
        <v>4200000</v>
      </c>
      <c r="J45" s="209">
        <v>1400000</v>
      </c>
      <c r="K45" s="187">
        <f t="shared" ref="K45:K51" si="28">L45/H45</f>
        <v>0.45161290322580644</v>
      </c>
      <c r="L45" s="188">
        <f>J45+I45</f>
        <v>5600000</v>
      </c>
      <c r="M45" s="434">
        <f>I45+J45</f>
        <v>5600000</v>
      </c>
      <c r="N45" s="437">
        <f t="shared" ref="N45:N60" si="29">H45-L45</f>
        <v>6800000</v>
      </c>
      <c r="O45" s="436">
        <f t="shared" si="26"/>
        <v>0.54838709677419351</v>
      </c>
      <c r="P45" s="188">
        <f t="shared" ref="P45:P60" si="30">L45</f>
        <v>5600000</v>
      </c>
      <c r="Q45" s="432">
        <f t="shared" ref="Q45:Q60" si="31">M45-P45</f>
        <v>0</v>
      </c>
      <c r="R45" s="435">
        <f>SUM(R46:R49)</f>
        <v>0</v>
      </c>
    </row>
    <row r="46" spans="1:18" ht="15" x14ac:dyDescent="0.25">
      <c r="A46" s="496" t="s">
        <v>236</v>
      </c>
      <c r="B46" s="194" t="s">
        <v>44</v>
      </c>
      <c r="C46" s="159">
        <v>73027607</v>
      </c>
      <c r="D46" s="186"/>
      <c r="E46" s="457"/>
      <c r="F46" s="458"/>
      <c r="G46" s="459"/>
      <c r="H46" s="185">
        <f t="shared" si="27"/>
        <v>73027607</v>
      </c>
      <c r="I46" s="186">
        <f>ABRIL!I44+ABRIL!J44</f>
        <v>27425263</v>
      </c>
      <c r="J46" s="209">
        <v>3898305</v>
      </c>
      <c r="K46" s="187">
        <f t="shared" si="28"/>
        <v>0.42892776152448758</v>
      </c>
      <c r="L46" s="188">
        <f t="shared" ref="L46:L60" si="32">J46+I46</f>
        <v>31323568</v>
      </c>
      <c r="M46" s="321">
        <f t="shared" ref="M46:M62" si="33">I46+J46</f>
        <v>31323568</v>
      </c>
      <c r="N46" s="189">
        <f t="shared" si="29"/>
        <v>41704039</v>
      </c>
      <c r="O46" s="198">
        <f t="shared" si="26"/>
        <v>0.57107223847551247</v>
      </c>
      <c r="P46" s="188">
        <f t="shared" si="30"/>
        <v>31323568</v>
      </c>
      <c r="Q46" s="432">
        <f t="shared" si="31"/>
        <v>0</v>
      </c>
      <c r="R46" s="432">
        <f>L46-M46</f>
        <v>0</v>
      </c>
    </row>
    <row r="47" spans="1:18" ht="15" x14ac:dyDescent="0.25">
      <c r="A47" s="496" t="s">
        <v>237</v>
      </c>
      <c r="B47" s="194" t="s">
        <v>46</v>
      </c>
      <c r="C47" s="159">
        <v>2000000</v>
      </c>
      <c r="D47" s="186"/>
      <c r="E47" s="457"/>
      <c r="F47" s="458"/>
      <c r="G47" s="459"/>
      <c r="H47" s="185">
        <f t="shared" si="27"/>
        <v>2000000</v>
      </c>
      <c r="I47" s="186">
        <f>ABRIL!I45+ABRIL!J45</f>
        <v>790000</v>
      </c>
      <c r="J47" s="209">
        <v>300000</v>
      </c>
      <c r="K47" s="187">
        <f t="shared" si="28"/>
        <v>0.54500000000000004</v>
      </c>
      <c r="L47" s="188">
        <f t="shared" si="32"/>
        <v>1090000</v>
      </c>
      <c r="M47" s="321">
        <f t="shared" si="33"/>
        <v>1090000</v>
      </c>
      <c r="N47" s="189">
        <f t="shared" si="29"/>
        <v>910000</v>
      </c>
      <c r="O47" s="198">
        <f t="shared" si="26"/>
        <v>0.45500000000000002</v>
      </c>
      <c r="P47" s="188">
        <f t="shared" si="30"/>
        <v>1090000</v>
      </c>
      <c r="Q47" s="432">
        <f t="shared" si="31"/>
        <v>0</v>
      </c>
      <c r="R47" s="432">
        <f>L47-M47</f>
        <v>0</v>
      </c>
    </row>
    <row r="48" spans="1:18" ht="15" x14ac:dyDescent="0.25">
      <c r="A48" s="496" t="s">
        <v>238</v>
      </c>
      <c r="B48" s="194" t="s">
        <v>48</v>
      </c>
      <c r="C48" s="159">
        <f>750000*12</f>
        <v>9000000</v>
      </c>
      <c r="D48" s="186"/>
      <c r="E48" s="457"/>
      <c r="F48" s="458"/>
      <c r="G48" s="459"/>
      <c r="H48" s="185">
        <f t="shared" si="27"/>
        <v>9000000</v>
      </c>
      <c r="I48" s="186">
        <f>ABRIL!I46+ABRIL!J46</f>
        <v>3467000</v>
      </c>
      <c r="J48" s="209">
        <v>789400</v>
      </c>
      <c r="K48" s="187">
        <f t="shared" si="28"/>
        <v>0.47293333333333332</v>
      </c>
      <c r="L48" s="188">
        <f t="shared" si="32"/>
        <v>4256400</v>
      </c>
      <c r="M48" s="321">
        <f t="shared" si="33"/>
        <v>4256400</v>
      </c>
      <c r="N48" s="189">
        <f t="shared" si="29"/>
        <v>4743600</v>
      </c>
      <c r="O48" s="190">
        <f t="shared" si="26"/>
        <v>0.52706666666666668</v>
      </c>
      <c r="P48" s="188">
        <f t="shared" si="30"/>
        <v>4256400</v>
      </c>
      <c r="Q48" s="432">
        <f t="shared" si="31"/>
        <v>0</v>
      </c>
      <c r="R48" s="432">
        <f>L48-M48</f>
        <v>0</v>
      </c>
    </row>
    <row r="49" spans="1:18" ht="15" x14ac:dyDescent="0.25">
      <c r="A49" s="496" t="s">
        <v>239</v>
      </c>
      <c r="B49" s="194" t="s">
        <v>50</v>
      </c>
      <c r="C49" s="159">
        <v>4500000</v>
      </c>
      <c r="D49" s="186"/>
      <c r="E49" s="457"/>
      <c r="F49" s="458"/>
      <c r="G49" s="459"/>
      <c r="H49" s="185">
        <f t="shared" si="27"/>
        <v>4500000</v>
      </c>
      <c r="I49" s="186">
        <f>ABRIL!I47+ABRIL!J47</f>
        <v>1370593</v>
      </c>
      <c r="J49" s="209">
        <v>342238</v>
      </c>
      <c r="K49" s="187">
        <f t="shared" si="28"/>
        <v>0.38062911111111108</v>
      </c>
      <c r="L49" s="188">
        <f t="shared" si="32"/>
        <v>1712831</v>
      </c>
      <c r="M49" s="321">
        <f t="shared" si="33"/>
        <v>1712831</v>
      </c>
      <c r="N49" s="189">
        <f t="shared" si="29"/>
        <v>2787169</v>
      </c>
      <c r="O49" s="190">
        <f t="shared" si="26"/>
        <v>0.61937088888888892</v>
      </c>
      <c r="P49" s="188">
        <f t="shared" si="30"/>
        <v>1712831</v>
      </c>
      <c r="Q49" s="432">
        <f t="shared" si="31"/>
        <v>0</v>
      </c>
      <c r="R49" s="432">
        <f>L49-M49</f>
        <v>0</v>
      </c>
    </row>
    <row r="50" spans="1:18" ht="15.75" x14ac:dyDescent="0.25">
      <c r="A50" s="496" t="s">
        <v>240</v>
      </c>
      <c r="B50" s="194" t="s">
        <v>52</v>
      </c>
      <c r="C50" s="159">
        <v>2500000</v>
      </c>
      <c r="D50" s="186"/>
      <c r="E50" s="457"/>
      <c r="F50" s="458"/>
      <c r="G50" s="459"/>
      <c r="H50" s="185">
        <f t="shared" si="27"/>
        <v>2500000</v>
      </c>
      <c r="I50" s="186">
        <f>ABRIL!I48+ABRIL!J48</f>
        <v>621164</v>
      </c>
      <c r="J50" s="209">
        <v>179880</v>
      </c>
      <c r="K50" s="187">
        <f t="shared" si="28"/>
        <v>0.32041760000000002</v>
      </c>
      <c r="L50" s="188">
        <f t="shared" si="32"/>
        <v>801044</v>
      </c>
      <c r="M50" s="434">
        <f t="shared" si="33"/>
        <v>801044</v>
      </c>
      <c r="N50" s="189">
        <f t="shared" si="29"/>
        <v>1698956</v>
      </c>
      <c r="O50" s="190">
        <v>0</v>
      </c>
      <c r="P50" s="188">
        <f t="shared" si="30"/>
        <v>801044</v>
      </c>
      <c r="Q50" s="432">
        <f t="shared" si="31"/>
        <v>0</v>
      </c>
      <c r="R50" s="433">
        <f>SUM(R51:R60)</f>
        <v>0</v>
      </c>
    </row>
    <row r="51" spans="1:18" ht="15" x14ac:dyDescent="0.25">
      <c r="A51" s="496" t="s">
        <v>241</v>
      </c>
      <c r="B51" s="197" t="s">
        <v>54</v>
      </c>
      <c r="C51" s="159">
        <v>1500000</v>
      </c>
      <c r="D51" s="186"/>
      <c r="E51" s="457"/>
      <c r="F51" s="458"/>
      <c r="G51" s="459"/>
      <c r="H51" s="185">
        <f t="shared" si="27"/>
        <v>1500000</v>
      </c>
      <c r="I51" s="186">
        <f>ABRIL!I49+ABRIL!J49</f>
        <v>414200</v>
      </c>
      <c r="J51" s="209">
        <v>200000</v>
      </c>
      <c r="K51" s="187">
        <f t="shared" si="28"/>
        <v>0.40946666666666665</v>
      </c>
      <c r="L51" s="188">
        <f>J51+I51</f>
        <v>614200</v>
      </c>
      <c r="M51" s="321">
        <f>I51+J51</f>
        <v>614200</v>
      </c>
      <c r="N51" s="189">
        <f t="shared" si="29"/>
        <v>885800</v>
      </c>
      <c r="O51" s="190">
        <f>N51/H51</f>
        <v>0.59053333333333335</v>
      </c>
      <c r="P51" s="188">
        <f t="shared" si="30"/>
        <v>614200</v>
      </c>
      <c r="Q51" s="432">
        <f t="shared" si="31"/>
        <v>0</v>
      </c>
      <c r="R51" s="432">
        <f t="shared" ref="R51:R60" si="34">L51-M51</f>
        <v>0</v>
      </c>
    </row>
    <row r="52" spans="1:18" ht="15" x14ac:dyDescent="0.25">
      <c r="A52" s="181">
        <v>2021020208</v>
      </c>
      <c r="B52" s="194" t="s">
        <v>56</v>
      </c>
      <c r="C52" s="159">
        <v>0</v>
      </c>
      <c r="D52" s="186"/>
      <c r="E52" s="457"/>
      <c r="F52" s="458"/>
      <c r="G52" s="459"/>
      <c r="H52" s="185">
        <f t="shared" si="27"/>
        <v>0</v>
      </c>
      <c r="I52" s="186">
        <f>ABRIL!I50+ABRIL!J50</f>
        <v>0</v>
      </c>
      <c r="J52" s="209">
        <v>0</v>
      </c>
      <c r="K52" s="187">
        <v>0</v>
      </c>
      <c r="L52" s="188">
        <f t="shared" si="32"/>
        <v>0</v>
      </c>
      <c r="M52" s="321">
        <f t="shared" si="33"/>
        <v>0</v>
      </c>
      <c r="N52" s="189">
        <f t="shared" si="29"/>
        <v>0</v>
      </c>
      <c r="O52" s="190">
        <v>0</v>
      </c>
      <c r="P52" s="188">
        <f t="shared" si="30"/>
        <v>0</v>
      </c>
      <c r="Q52" s="432">
        <f t="shared" si="31"/>
        <v>0</v>
      </c>
      <c r="R52" s="432">
        <f t="shared" si="34"/>
        <v>0</v>
      </c>
    </row>
    <row r="53" spans="1:18" ht="15" x14ac:dyDescent="0.25">
      <c r="A53" s="496" t="s">
        <v>242</v>
      </c>
      <c r="B53" s="194" t="s">
        <v>58</v>
      </c>
      <c r="C53" s="159">
        <v>5000000</v>
      </c>
      <c r="D53" s="186"/>
      <c r="E53" s="457"/>
      <c r="F53" s="458"/>
      <c r="G53" s="459"/>
      <c r="H53" s="185">
        <f t="shared" si="27"/>
        <v>5000000</v>
      </c>
      <c r="I53" s="186">
        <f>ABRIL!I51+ABRIL!J51</f>
        <v>2364339</v>
      </c>
      <c r="J53" s="209">
        <v>0</v>
      </c>
      <c r="K53" s="187">
        <f>L53/H53</f>
        <v>0.4728678</v>
      </c>
      <c r="L53" s="188">
        <f t="shared" si="32"/>
        <v>2364339</v>
      </c>
      <c r="M53" s="321">
        <f t="shared" si="33"/>
        <v>2364339</v>
      </c>
      <c r="N53" s="189">
        <f t="shared" si="29"/>
        <v>2635661</v>
      </c>
      <c r="O53" s="190">
        <f>N53/H53</f>
        <v>0.52713220000000005</v>
      </c>
      <c r="P53" s="188">
        <f t="shared" si="30"/>
        <v>2364339</v>
      </c>
      <c r="Q53" s="432">
        <f t="shared" si="31"/>
        <v>0</v>
      </c>
      <c r="R53" s="432">
        <f t="shared" si="34"/>
        <v>0</v>
      </c>
    </row>
    <row r="54" spans="1:18" ht="15" x14ac:dyDescent="0.25">
      <c r="A54" s="496" t="s">
        <v>243</v>
      </c>
      <c r="B54" s="197" t="s">
        <v>60</v>
      </c>
      <c r="C54" s="159">
        <v>24000000</v>
      </c>
      <c r="D54" s="186"/>
      <c r="E54" s="457"/>
      <c r="F54" s="458"/>
      <c r="G54" s="459"/>
      <c r="H54" s="185">
        <f t="shared" si="27"/>
        <v>24000000</v>
      </c>
      <c r="I54" s="186">
        <f>ABRIL!I52+ABRIL!J52</f>
        <v>0</v>
      </c>
      <c r="J54" s="209">
        <v>0</v>
      </c>
      <c r="K54" s="187">
        <f>L54/H54</f>
        <v>0</v>
      </c>
      <c r="L54" s="188">
        <f t="shared" si="32"/>
        <v>0</v>
      </c>
      <c r="M54" s="321">
        <f t="shared" si="33"/>
        <v>0</v>
      </c>
      <c r="N54" s="189">
        <f t="shared" si="29"/>
        <v>24000000</v>
      </c>
      <c r="O54" s="190">
        <f>N54/H54</f>
        <v>1</v>
      </c>
      <c r="P54" s="188">
        <f t="shared" si="30"/>
        <v>0</v>
      </c>
      <c r="Q54" s="432">
        <f t="shared" si="31"/>
        <v>0</v>
      </c>
      <c r="R54" s="432">
        <f t="shared" si="34"/>
        <v>0</v>
      </c>
    </row>
    <row r="55" spans="1:18" ht="15" x14ac:dyDescent="0.25">
      <c r="A55" s="496" t="s">
        <v>244</v>
      </c>
      <c r="B55" s="194" t="s">
        <v>62</v>
      </c>
      <c r="C55" s="159">
        <v>4000000</v>
      </c>
      <c r="D55" s="186"/>
      <c r="E55" s="457"/>
      <c r="F55" s="458">
        <v>10000000</v>
      </c>
      <c r="G55" s="459"/>
      <c r="H55" s="185">
        <f t="shared" si="27"/>
        <v>14000000</v>
      </c>
      <c r="I55" s="186">
        <f>ABRIL!I53+ABRIL!J53</f>
        <v>1785000</v>
      </c>
      <c r="J55" s="209">
        <v>0</v>
      </c>
      <c r="K55" s="187">
        <v>0</v>
      </c>
      <c r="L55" s="188">
        <f t="shared" si="32"/>
        <v>1785000</v>
      </c>
      <c r="M55" s="321">
        <f t="shared" si="33"/>
        <v>1785000</v>
      </c>
      <c r="N55" s="189">
        <f t="shared" si="29"/>
        <v>12215000</v>
      </c>
      <c r="O55" s="190">
        <v>0</v>
      </c>
      <c r="P55" s="188">
        <f t="shared" si="30"/>
        <v>1785000</v>
      </c>
      <c r="Q55" s="432">
        <f t="shared" si="31"/>
        <v>0</v>
      </c>
      <c r="R55" s="432">
        <f t="shared" si="34"/>
        <v>0</v>
      </c>
    </row>
    <row r="56" spans="1:18" ht="15" x14ac:dyDescent="0.25">
      <c r="A56" s="496" t="s">
        <v>245</v>
      </c>
      <c r="B56" s="194" t="s">
        <v>64</v>
      </c>
      <c r="C56" s="159">
        <v>22000000</v>
      </c>
      <c r="D56" s="186"/>
      <c r="E56" s="457"/>
      <c r="F56" s="458"/>
      <c r="G56" s="459"/>
      <c r="H56" s="185">
        <f t="shared" si="27"/>
        <v>22000000</v>
      </c>
      <c r="I56" s="186">
        <f>ABRIL!I54+ABRIL!J54</f>
        <v>0</v>
      </c>
      <c r="J56" s="209">
        <v>0</v>
      </c>
      <c r="K56" s="187">
        <v>0</v>
      </c>
      <c r="L56" s="188">
        <f t="shared" si="32"/>
        <v>0</v>
      </c>
      <c r="M56" s="321">
        <f t="shared" si="33"/>
        <v>0</v>
      </c>
      <c r="N56" s="189">
        <f t="shared" si="29"/>
        <v>22000000</v>
      </c>
      <c r="O56" s="190">
        <v>0</v>
      </c>
      <c r="P56" s="188">
        <f t="shared" si="30"/>
        <v>0</v>
      </c>
      <c r="Q56" s="432">
        <f t="shared" si="31"/>
        <v>0</v>
      </c>
      <c r="R56" s="432">
        <f t="shared" si="34"/>
        <v>0</v>
      </c>
    </row>
    <row r="57" spans="1:18" ht="15" x14ac:dyDescent="0.25">
      <c r="A57" s="181">
        <v>2021020213</v>
      </c>
      <c r="B57" s="194" t="s">
        <v>65</v>
      </c>
      <c r="C57" s="159">
        <v>0</v>
      </c>
      <c r="D57" s="186"/>
      <c r="E57" s="457"/>
      <c r="F57" s="458"/>
      <c r="G57" s="459"/>
      <c r="H57" s="185">
        <f t="shared" si="27"/>
        <v>0</v>
      </c>
      <c r="I57" s="186">
        <f>ABRIL!I55+ABRIL!J55</f>
        <v>0</v>
      </c>
      <c r="J57" s="209">
        <v>0</v>
      </c>
      <c r="K57" s="187">
        <v>0</v>
      </c>
      <c r="L57" s="188">
        <f t="shared" si="32"/>
        <v>0</v>
      </c>
      <c r="M57" s="321">
        <f t="shared" si="33"/>
        <v>0</v>
      </c>
      <c r="N57" s="189">
        <f t="shared" si="29"/>
        <v>0</v>
      </c>
      <c r="O57" s="190">
        <v>0</v>
      </c>
      <c r="P57" s="188">
        <f t="shared" si="30"/>
        <v>0</v>
      </c>
      <c r="Q57" s="432">
        <f t="shared" si="31"/>
        <v>0</v>
      </c>
      <c r="R57" s="432">
        <f t="shared" si="34"/>
        <v>0</v>
      </c>
    </row>
    <row r="58" spans="1:18" ht="15" x14ac:dyDescent="0.25">
      <c r="A58" s="181">
        <v>2021020214</v>
      </c>
      <c r="B58" s="194" t="s">
        <v>67</v>
      </c>
      <c r="C58" s="159">
        <v>0</v>
      </c>
      <c r="D58" s="186"/>
      <c r="E58" s="457"/>
      <c r="F58" s="458"/>
      <c r="G58" s="459"/>
      <c r="H58" s="185">
        <f t="shared" si="27"/>
        <v>0</v>
      </c>
      <c r="I58" s="186">
        <f>ABRIL!I56+ABRIL!J56</f>
        <v>0</v>
      </c>
      <c r="J58" s="209">
        <v>0</v>
      </c>
      <c r="K58" s="187">
        <v>0</v>
      </c>
      <c r="L58" s="188">
        <f t="shared" si="32"/>
        <v>0</v>
      </c>
      <c r="M58" s="321">
        <f t="shared" si="33"/>
        <v>0</v>
      </c>
      <c r="N58" s="189">
        <f t="shared" si="29"/>
        <v>0</v>
      </c>
      <c r="O58" s="190">
        <v>0</v>
      </c>
      <c r="P58" s="188">
        <f t="shared" si="30"/>
        <v>0</v>
      </c>
      <c r="Q58" s="432">
        <f t="shared" si="31"/>
        <v>0</v>
      </c>
      <c r="R58" s="432">
        <f t="shared" si="34"/>
        <v>0</v>
      </c>
    </row>
    <row r="59" spans="1:18" ht="15" x14ac:dyDescent="0.25">
      <c r="A59" s="496" t="s">
        <v>246</v>
      </c>
      <c r="B59" s="194" t="s">
        <v>97</v>
      </c>
      <c r="C59" s="159">
        <v>1300000</v>
      </c>
      <c r="D59" s="186"/>
      <c r="E59" s="457"/>
      <c r="F59" s="458"/>
      <c r="G59" s="459"/>
      <c r="H59" s="185">
        <f t="shared" si="27"/>
        <v>1300000</v>
      </c>
      <c r="I59" s="186">
        <f>ABRIL!I57+ABRIL!J57</f>
        <v>0</v>
      </c>
      <c r="J59" s="209">
        <v>0</v>
      </c>
      <c r="K59" s="187">
        <f>L59/H59</f>
        <v>0</v>
      </c>
      <c r="L59" s="188">
        <f t="shared" si="32"/>
        <v>0</v>
      </c>
      <c r="M59" s="321">
        <f t="shared" si="33"/>
        <v>0</v>
      </c>
      <c r="N59" s="189">
        <f t="shared" si="29"/>
        <v>1300000</v>
      </c>
      <c r="O59" s="190">
        <f>N59/H59</f>
        <v>1</v>
      </c>
      <c r="P59" s="188">
        <f t="shared" si="30"/>
        <v>0</v>
      </c>
      <c r="Q59" s="432">
        <f t="shared" si="31"/>
        <v>0</v>
      </c>
      <c r="R59" s="432">
        <f t="shared" si="34"/>
        <v>0</v>
      </c>
    </row>
    <row r="60" spans="1:18" ht="15" x14ac:dyDescent="0.25">
      <c r="A60" s="199">
        <v>2021020216</v>
      </c>
      <c r="B60" s="194" t="s">
        <v>148</v>
      </c>
      <c r="C60" s="159">
        <v>0</v>
      </c>
      <c r="D60" s="186"/>
      <c r="E60" s="457"/>
      <c r="F60" s="458"/>
      <c r="G60" s="459"/>
      <c r="H60" s="185">
        <f t="shared" si="27"/>
        <v>0</v>
      </c>
      <c r="I60" s="186">
        <f>ABRIL!I58+ABRIL!J58</f>
        <v>0</v>
      </c>
      <c r="J60" s="209">
        <v>0</v>
      </c>
      <c r="K60" s="187">
        <v>0</v>
      </c>
      <c r="L60" s="188">
        <f t="shared" si="32"/>
        <v>0</v>
      </c>
      <c r="M60" s="321">
        <f t="shared" si="33"/>
        <v>0</v>
      </c>
      <c r="N60" s="189">
        <f t="shared" si="29"/>
        <v>0</v>
      </c>
      <c r="O60" s="190">
        <v>0</v>
      </c>
      <c r="P60" s="188">
        <f t="shared" si="30"/>
        <v>0</v>
      </c>
      <c r="Q60" s="432">
        <f t="shared" si="31"/>
        <v>0</v>
      </c>
      <c r="R60" s="432">
        <f t="shared" si="34"/>
        <v>0</v>
      </c>
    </row>
    <row r="61" spans="1:18" ht="27" customHeight="1" x14ac:dyDescent="0.2">
      <c r="A61" s="497">
        <v>20210301</v>
      </c>
      <c r="B61" s="195" t="s">
        <v>95</v>
      </c>
      <c r="C61" s="201">
        <f>C62</f>
        <v>0</v>
      </c>
      <c r="D61" s="206">
        <f>D62</f>
        <v>0</v>
      </c>
      <c r="E61" s="206">
        <f>E62</f>
        <v>0</v>
      </c>
      <c r="F61" s="206">
        <f>F62</f>
        <v>0</v>
      </c>
      <c r="G61" s="206">
        <f>G62</f>
        <v>0</v>
      </c>
      <c r="H61" s="176">
        <f>SUM(H62:H62)</f>
        <v>0</v>
      </c>
      <c r="I61" s="176">
        <f>SUM(I62:I62)</f>
        <v>0</v>
      </c>
      <c r="J61" s="176">
        <f>SUM(J62:J62)</f>
        <v>0</v>
      </c>
      <c r="K61" s="177">
        <f>K62</f>
        <v>1</v>
      </c>
      <c r="L61" s="178">
        <f>L62</f>
        <v>0</v>
      </c>
      <c r="M61" s="191">
        <f t="shared" si="33"/>
        <v>0</v>
      </c>
      <c r="N61" s="191">
        <f>SUM(N62:N62)</f>
        <v>0</v>
      </c>
      <c r="O61" s="179">
        <v>0</v>
      </c>
      <c r="P61" s="176">
        <f>SUM(P62:P62)</f>
        <v>0</v>
      </c>
      <c r="Q61" s="176">
        <f>SUM(Q62:Q62)</f>
        <v>0</v>
      </c>
      <c r="R61" s="176">
        <f>SUM(R62:R62)</f>
        <v>0</v>
      </c>
    </row>
    <row r="62" spans="1:18" ht="15" x14ac:dyDescent="0.25">
      <c r="A62" s="207">
        <v>2021030101</v>
      </c>
      <c r="B62" s="208" t="s">
        <v>96</v>
      </c>
      <c r="C62" s="183"/>
      <c r="D62" s="209">
        <v>0</v>
      </c>
      <c r="E62" s="457"/>
      <c r="F62" s="458"/>
      <c r="G62" s="459"/>
      <c r="H62" s="185">
        <f>C62-D62+E62+F62-G62</f>
        <v>0</v>
      </c>
      <c r="I62" s="186">
        <f>ABRIL!I60+ABRIL!J60</f>
        <v>0</v>
      </c>
      <c r="J62" s="209">
        <v>0</v>
      </c>
      <c r="K62" s="187">
        <v>1</v>
      </c>
      <c r="L62" s="188">
        <f>J62+I62</f>
        <v>0</v>
      </c>
      <c r="M62" s="321">
        <f t="shared" si="33"/>
        <v>0</v>
      </c>
      <c r="N62" s="189">
        <f>H62-L62</f>
        <v>0</v>
      </c>
      <c r="O62" s="190">
        <v>0</v>
      </c>
      <c r="P62" s="188">
        <f>L62</f>
        <v>0</v>
      </c>
      <c r="Q62" s="432">
        <f>M62-P62</f>
        <v>0</v>
      </c>
      <c r="R62" s="188"/>
    </row>
    <row r="63" spans="1:18" s="216" customFormat="1" ht="31.5" customHeight="1" x14ac:dyDescent="0.2">
      <c r="A63" s="210"/>
      <c r="B63" s="211" t="s">
        <v>165</v>
      </c>
      <c r="C63" s="212">
        <f>C27+C22+C44+C18+C39+C8+C61</f>
        <v>1168442348</v>
      </c>
      <c r="D63" s="213">
        <f>D9+D27</f>
        <v>0</v>
      </c>
      <c r="E63" s="213">
        <f>E8+E18+E39+E44+E22+E27+E61</f>
        <v>185847307</v>
      </c>
      <c r="F63" s="213">
        <f>F8+F18+F39+F44++F22+F27+F61</f>
        <v>66300000</v>
      </c>
      <c r="G63" s="213">
        <f>G8+G18+G39+G44+G22+G27+G61</f>
        <v>66300000</v>
      </c>
      <c r="H63" s="213">
        <f>H8+H18+H39+H44+H22+H27+H61</f>
        <v>1354289655</v>
      </c>
      <c r="I63" s="213">
        <f>I8+I18+I39+I44+I22+I27+I61</f>
        <v>374705465.86666667</v>
      </c>
      <c r="J63" s="213">
        <f>J8+J18+J39+J44+J22+J27+J61</f>
        <v>76136929</v>
      </c>
      <c r="K63" s="214">
        <f>L63/H63</f>
        <v>0.33289953386424315</v>
      </c>
      <c r="L63" s="213">
        <f>L8+L18+L39+L44+L22+L27+L61</f>
        <v>450842394.86666667</v>
      </c>
      <c r="M63" s="213">
        <f>M8+M18+M39+M44+M22+M27+M61</f>
        <v>450842394.86666667</v>
      </c>
      <c r="N63" s="213">
        <f>N8+N18+N39+N44+N22+N27+N61</f>
        <v>903447260.13333333</v>
      </c>
      <c r="O63" s="215">
        <f>N63/H63</f>
        <v>0.6671004661357568</v>
      </c>
      <c r="P63" s="213">
        <f>P8+P18+P39+P44+P22+P27+P61</f>
        <v>394942394.86666667</v>
      </c>
      <c r="Q63" s="213">
        <f>Q8+Q18+Q39+Q44+Q22+Q27+Q61</f>
        <v>55900000</v>
      </c>
      <c r="R63" s="213">
        <f>R9+R18+R22+R27+R45+R50+R61</f>
        <v>0</v>
      </c>
    </row>
    <row r="64" spans="1:18" ht="35.25" customHeight="1" x14ac:dyDescent="0.25">
      <c r="A64" s="431" t="s">
        <v>166</v>
      </c>
      <c r="B64" s="682" t="s">
        <v>271</v>
      </c>
      <c r="C64" s="683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4"/>
      <c r="P64" s="217"/>
      <c r="Q64" s="217"/>
      <c r="R64" s="217"/>
    </row>
    <row r="66" spans="4:14" x14ac:dyDescent="0.2">
      <c r="D66" s="218"/>
      <c r="E66" s="218"/>
      <c r="F66" s="218"/>
      <c r="G66" s="218"/>
      <c r="N66" s="218"/>
    </row>
    <row r="67" spans="4:14" x14ac:dyDescent="0.2">
      <c r="G67" s="218"/>
      <c r="I67" s="218"/>
      <c r="J67" s="221"/>
      <c r="N67" s="218"/>
    </row>
    <row r="68" spans="4:14" x14ac:dyDescent="0.2">
      <c r="D68" s="218"/>
      <c r="J68" s="218"/>
      <c r="K68" s="218"/>
      <c r="N68" s="218"/>
    </row>
    <row r="69" spans="4:14" x14ac:dyDescent="0.2">
      <c r="H69" s="218"/>
      <c r="J69" s="218"/>
      <c r="K69" s="609">
        <v>622524</v>
      </c>
      <c r="N69" s="218"/>
    </row>
    <row r="70" spans="4:14" x14ac:dyDescent="0.2">
      <c r="H70" s="218"/>
      <c r="J70" s="218"/>
      <c r="K70" s="609">
        <v>465670</v>
      </c>
    </row>
  </sheetData>
  <mergeCells count="5">
    <mergeCell ref="A1:O1"/>
    <mergeCell ref="A2:O2"/>
    <mergeCell ref="A3:O3"/>
    <mergeCell ref="K5:K6"/>
    <mergeCell ref="B64:O64"/>
  </mergeCells>
  <phoneticPr fontId="30" type="noConversion"/>
  <printOptions horizontalCentered="1" verticalCentered="1"/>
  <pageMargins left="0.23622047244094491" right="0.23622047244094491" top="0.39370078740157483" bottom="0.39370078740157483" header="0" footer="0"/>
  <pageSetup paperSize="5" scale="4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67F9-32CA-4B66-9685-1CF43BE5F209}">
  <sheetPr>
    <tabColor rgb="FF0070C0"/>
  </sheetPr>
  <dimension ref="A1:R70"/>
  <sheetViews>
    <sheetView showGridLines="0" view="pageBreakPreview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P19" sqref="P19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315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I8" si="0">SUM(C9:C17)</f>
        <v>699585000</v>
      </c>
      <c r="D8" s="176">
        <f t="shared" si="0"/>
        <v>0</v>
      </c>
      <c r="E8" s="176">
        <f t="shared" si="0"/>
        <v>155847307</v>
      </c>
      <c r="F8" s="176">
        <f t="shared" si="0"/>
        <v>0</v>
      </c>
      <c r="G8" s="176">
        <f t="shared" si="0"/>
        <v>66300000</v>
      </c>
      <c r="H8" s="176">
        <f t="shared" si="0"/>
        <v>789132307</v>
      </c>
      <c r="I8" s="176">
        <f t="shared" si="0"/>
        <v>222674623.86666667</v>
      </c>
      <c r="J8" s="176">
        <f>SUM(J9:J17)</f>
        <v>49427633</v>
      </c>
      <c r="K8" s="177">
        <f>L8/H8</f>
        <v>0.3448119592278544</v>
      </c>
      <c r="L8" s="178">
        <f>SUM(L9:L17)</f>
        <v>272102256.86666667</v>
      </c>
      <c r="M8" s="178">
        <f>SUM(M9:M17)</f>
        <v>272102256.86666667</v>
      </c>
      <c r="N8" s="176">
        <f>SUM(N9:N17)</f>
        <v>517030050.13333333</v>
      </c>
      <c r="O8" s="179">
        <f t="shared" ref="O8:O19" si="1">N8/H8</f>
        <v>0.65518804077214565</v>
      </c>
      <c r="P8" s="176">
        <f>SUM(P9:P17)</f>
        <v>272102256.86666667</v>
      </c>
      <c r="Q8" s="176">
        <f>SUM(Q9:Q17)</f>
        <v>0</v>
      </c>
      <c r="R8" s="176">
        <f>SUM(R9:R17)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>
        <f>3000000+10000000+53300000</f>
        <v>66300000</v>
      </c>
      <c r="H9" s="185">
        <f>C9-D9+E9+F9-G9</f>
        <v>469700000</v>
      </c>
      <c r="I9" s="186">
        <f>MAYO!I9+MAYO!J9</f>
        <v>158047871</v>
      </c>
      <c r="J9" s="186">
        <v>0</v>
      </c>
      <c r="K9" s="187">
        <f>L9/H9</f>
        <v>0.33648684479454971</v>
      </c>
      <c r="L9" s="188">
        <f t="shared" ref="L9:L17" si="2">J9+I9</f>
        <v>158047871</v>
      </c>
      <c r="M9" s="321">
        <f>I9+J9</f>
        <v>158047871</v>
      </c>
      <c r="N9" s="189">
        <f>H9-L9</f>
        <v>311652129</v>
      </c>
      <c r="O9" s="190">
        <f t="shared" si="1"/>
        <v>0.66351315520545029</v>
      </c>
      <c r="P9" s="432">
        <f>M9</f>
        <v>158047871</v>
      </c>
      <c r="Q9" s="432">
        <f t="shared" ref="Q9:Q17" si="3">M9-P9</f>
        <v>0</v>
      </c>
      <c r="R9" s="432">
        <f t="shared" ref="R9:R17" si="4">L9-M9</f>
        <v>0</v>
      </c>
    </row>
    <row r="10" spans="1:18" ht="15" x14ac:dyDescent="0.25">
      <c r="A10" s="496">
        <v>2021010101</v>
      </c>
      <c r="B10" s="182" t="s">
        <v>306</v>
      </c>
      <c r="C10" s="159"/>
      <c r="D10" s="184"/>
      <c r="E10" s="457">
        <v>155847307</v>
      </c>
      <c r="F10" s="458"/>
      <c r="G10" s="459"/>
      <c r="H10" s="185">
        <f>C10-D10+E10+F10-G10</f>
        <v>155847307</v>
      </c>
      <c r="I10" s="186">
        <f>MAYO!I10+MAYO!J10</f>
        <v>46923039</v>
      </c>
      <c r="J10" s="186">
        <v>47621614</v>
      </c>
      <c r="K10" s="187">
        <f>L10/H10</f>
        <v>0.60664925701924388</v>
      </c>
      <c r="L10" s="188">
        <f t="shared" si="2"/>
        <v>94544653</v>
      </c>
      <c r="M10" s="321">
        <f>I10+J10</f>
        <v>94544653</v>
      </c>
      <c r="N10" s="189">
        <f>H10-L10</f>
        <v>61302654</v>
      </c>
      <c r="O10" s="190">
        <f t="shared" si="1"/>
        <v>0.39335074298075617</v>
      </c>
      <c r="P10" s="432">
        <f>M10</f>
        <v>94544653</v>
      </c>
      <c r="Q10" s="432"/>
      <c r="R10" s="432"/>
    </row>
    <row r="11" spans="1:18" ht="15" x14ac:dyDescent="0.25">
      <c r="A11" s="496" t="s">
        <v>210</v>
      </c>
      <c r="B11" s="182" t="s">
        <v>11</v>
      </c>
      <c r="C11" s="159">
        <v>1320000</v>
      </c>
      <c r="D11" s="184"/>
      <c r="E11" s="457"/>
      <c r="F11" s="458"/>
      <c r="G11" s="459"/>
      <c r="H11" s="185">
        <f t="shared" ref="H11:H17" si="5">C11-D11+E11+F11-G11</f>
        <v>1320000</v>
      </c>
      <c r="I11" s="186">
        <f>MAYO!I11+MAYO!J11</f>
        <v>493236.8666666667</v>
      </c>
      <c r="J11" s="186">
        <v>106454</v>
      </c>
      <c r="K11" s="187">
        <f t="shared" ref="K11:K17" si="6">L11/H11</f>
        <v>0.45431126262626265</v>
      </c>
      <c r="L11" s="188">
        <f t="shared" si="2"/>
        <v>599690.8666666667</v>
      </c>
      <c r="M11" s="321">
        <f>I11+J11</f>
        <v>599690.8666666667</v>
      </c>
      <c r="N11" s="189">
        <f t="shared" ref="N11:N17" si="7">H11-L11</f>
        <v>720309.1333333333</v>
      </c>
      <c r="O11" s="190">
        <f t="shared" si="1"/>
        <v>0.54568873737373735</v>
      </c>
      <c r="P11" s="432">
        <f t="shared" ref="P11:P16" si="8">L11</f>
        <v>599690.8666666667</v>
      </c>
      <c r="Q11" s="432">
        <f t="shared" si="3"/>
        <v>0</v>
      </c>
      <c r="R11" s="432">
        <f t="shared" si="4"/>
        <v>0</v>
      </c>
    </row>
    <row r="12" spans="1:18" ht="15.75" customHeight="1" x14ac:dyDescent="0.25">
      <c r="A12" s="496" t="s">
        <v>211</v>
      </c>
      <c r="B12" s="182" t="s">
        <v>13</v>
      </c>
      <c r="C12" s="159">
        <v>848000</v>
      </c>
      <c r="D12" s="184"/>
      <c r="E12" s="457"/>
      <c r="F12" s="458"/>
      <c r="G12" s="459"/>
      <c r="H12" s="185">
        <f t="shared" si="5"/>
        <v>848000</v>
      </c>
      <c r="I12" s="186">
        <f>MAYO!I12+MAYO!J12</f>
        <v>306254</v>
      </c>
      <c r="J12" s="186">
        <v>66098</v>
      </c>
      <c r="K12" s="187">
        <f t="shared" si="6"/>
        <v>0.43909433962264149</v>
      </c>
      <c r="L12" s="188">
        <f t="shared" si="2"/>
        <v>372352</v>
      </c>
      <c r="M12" s="321">
        <f t="shared" ref="M12:M17" si="9">I12+J12</f>
        <v>372352</v>
      </c>
      <c r="N12" s="189">
        <f t="shared" si="7"/>
        <v>475648</v>
      </c>
      <c r="O12" s="190">
        <f t="shared" si="1"/>
        <v>0.56090566037735845</v>
      </c>
      <c r="P12" s="432">
        <f t="shared" si="8"/>
        <v>372352</v>
      </c>
      <c r="Q12" s="432">
        <f t="shared" si="3"/>
        <v>0</v>
      </c>
      <c r="R12" s="432">
        <f t="shared" si="4"/>
        <v>0</v>
      </c>
    </row>
    <row r="13" spans="1:18" ht="15" x14ac:dyDescent="0.25">
      <c r="A13" s="496" t="s">
        <v>212</v>
      </c>
      <c r="B13" s="182" t="s">
        <v>15</v>
      </c>
      <c r="C13" s="159">
        <v>16300000</v>
      </c>
      <c r="D13" s="184"/>
      <c r="E13" s="457"/>
      <c r="F13" s="458"/>
      <c r="G13" s="459"/>
      <c r="H13" s="185">
        <f t="shared" si="5"/>
        <v>16300000</v>
      </c>
      <c r="I13" s="186">
        <f>MAYO!I13+MAYO!J13</f>
        <v>6709495</v>
      </c>
      <c r="J13" s="186">
        <v>1633467</v>
      </c>
      <c r="K13" s="187">
        <f t="shared" si="6"/>
        <v>0.51183815950920242</v>
      </c>
      <c r="L13" s="188">
        <f t="shared" si="2"/>
        <v>8342962</v>
      </c>
      <c r="M13" s="321">
        <f t="shared" si="9"/>
        <v>8342962</v>
      </c>
      <c r="N13" s="189">
        <f t="shared" si="7"/>
        <v>7957038</v>
      </c>
      <c r="O13" s="190">
        <f t="shared" si="1"/>
        <v>0.48816184049079753</v>
      </c>
      <c r="P13" s="432">
        <f t="shared" si="8"/>
        <v>8342962</v>
      </c>
      <c r="Q13" s="432">
        <f t="shared" si="3"/>
        <v>0</v>
      </c>
      <c r="R13" s="432">
        <f t="shared" si="4"/>
        <v>0</v>
      </c>
    </row>
    <row r="14" spans="1:18" ht="15" x14ac:dyDescent="0.25">
      <c r="A14" s="496" t="s">
        <v>213</v>
      </c>
      <c r="B14" s="182" t="s">
        <v>17</v>
      </c>
      <c r="C14" s="159">
        <v>24000000</v>
      </c>
      <c r="D14" s="184"/>
      <c r="E14" s="457"/>
      <c r="F14" s="458"/>
      <c r="G14" s="459"/>
      <c r="H14" s="185">
        <f t="shared" si="5"/>
        <v>24000000</v>
      </c>
      <c r="I14" s="186">
        <f>MAYO!I14+MAYO!J14</f>
        <v>1169522</v>
      </c>
      <c r="J14" s="186">
        <v>0</v>
      </c>
      <c r="K14" s="187">
        <f>L14/H14</f>
        <v>4.8730083333333334E-2</v>
      </c>
      <c r="L14" s="188">
        <f t="shared" si="2"/>
        <v>1169522</v>
      </c>
      <c r="M14" s="321">
        <f t="shared" si="9"/>
        <v>1169522</v>
      </c>
      <c r="N14" s="189">
        <f t="shared" si="7"/>
        <v>22830478</v>
      </c>
      <c r="O14" s="190">
        <f t="shared" si="1"/>
        <v>0.95126991666666671</v>
      </c>
      <c r="P14" s="432">
        <f t="shared" si="8"/>
        <v>1169522</v>
      </c>
      <c r="Q14" s="432">
        <f t="shared" si="3"/>
        <v>0</v>
      </c>
      <c r="R14" s="432">
        <f t="shared" si="4"/>
        <v>0</v>
      </c>
    </row>
    <row r="15" spans="1:18" ht="15" x14ac:dyDescent="0.25">
      <c r="A15" s="496" t="s">
        <v>214</v>
      </c>
      <c r="B15" s="182" t="s">
        <v>19</v>
      </c>
      <c r="C15" s="159">
        <v>24787000</v>
      </c>
      <c r="D15" s="184"/>
      <c r="E15" s="457"/>
      <c r="F15" s="458"/>
      <c r="G15" s="459"/>
      <c r="H15" s="185">
        <f t="shared" si="5"/>
        <v>24787000</v>
      </c>
      <c r="I15" s="186">
        <f>MAYO!I15+MAYO!J15</f>
        <v>3128809</v>
      </c>
      <c r="J15" s="186">
        <v>0</v>
      </c>
      <c r="K15" s="187">
        <f t="shared" si="6"/>
        <v>0.12622782103522007</v>
      </c>
      <c r="L15" s="188">
        <f t="shared" si="2"/>
        <v>3128809</v>
      </c>
      <c r="M15" s="321">
        <f t="shared" si="9"/>
        <v>3128809</v>
      </c>
      <c r="N15" s="189">
        <f t="shared" si="7"/>
        <v>21658191</v>
      </c>
      <c r="O15" s="190">
        <f t="shared" si="1"/>
        <v>0.87377217896477988</v>
      </c>
      <c r="P15" s="432">
        <f t="shared" si="8"/>
        <v>3128809</v>
      </c>
      <c r="Q15" s="432">
        <f t="shared" si="3"/>
        <v>0</v>
      </c>
      <c r="R15" s="432">
        <f t="shared" si="4"/>
        <v>0</v>
      </c>
    </row>
    <row r="16" spans="1:18" ht="15" x14ac:dyDescent="0.25">
      <c r="A16" s="496" t="s">
        <v>215</v>
      </c>
      <c r="B16" s="182" t="s">
        <v>292</v>
      </c>
      <c r="C16" s="159">
        <v>55000000</v>
      </c>
      <c r="D16" s="184"/>
      <c r="E16" s="457"/>
      <c r="F16" s="458"/>
      <c r="G16" s="459"/>
      <c r="H16" s="185">
        <f t="shared" si="5"/>
        <v>55000000</v>
      </c>
      <c r="I16" s="186">
        <f>MAYO!I16+MAYO!J16</f>
        <v>939517</v>
      </c>
      <c r="J16" s="186">
        <v>0</v>
      </c>
      <c r="K16" s="187">
        <f t="shared" si="6"/>
        <v>1.7082127272727274E-2</v>
      </c>
      <c r="L16" s="188">
        <f t="shared" si="2"/>
        <v>939517</v>
      </c>
      <c r="M16" s="321">
        <f t="shared" si="9"/>
        <v>939517</v>
      </c>
      <c r="N16" s="189">
        <f t="shared" si="7"/>
        <v>54060483</v>
      </c>
      <c r="O16" s="190">
        <f t="shared" si="1"/>
        <v>0.98291787272727271</v>
      </c>
      <c r="P16" s="432">
        <f t="shared" si="8"/>
        <v>939517</v>
      </c>
      <c r="Q16" s="432">
        <f t="shared" si="3"/>
        <v>0</v>
      </c>
      <c r="R16" s="432">
        <f t="shared" si="4"/>
        <v>0</v>
      </c>
    </row>
    <row r="17" spans="1:18" ht="15" x14ac:dyDescent="0.25">
      <c r="A17" s="496" t="s">
        <v>216</v>
      </c>
      <c r="B17" s="182" t="s">
        <v>20</v>
      </c>
      <c r="C17" s="159">
        <v>41330000</v>
      </c>
      <c r="D17" s="184"/>
      <c r="E17" s="457"/>
      <c r="F17" s="458"/>
      <c r="G17" s="459"/>
      <c r="H17" s="185">
        <f t="shared" si="5"/>
        <v>41330000</v>
      </c>
      <c r="I17" s="186">
        <f>MAYO!I17+MAYO!J17</f>
        <v>4956880</v>
      </c>
      <c r="J17" s="186">
        <v>0</v>
      </c>
      <c r="K17" s="187">
        <f t="shared" si="6"/>
        <v>0.11993418824098717</v>
      </c>
      <c r="L17" s="188">
        <f t="shared" si="2"/>
        <v>4956880</v>
      </c>
      <c r="M17" s="321">
        <f t="shared" si="9"/>
        <v>4956880</v>
      </c>
      <c r="N17" s="189">
        <f t="shared" si="7"/>
        <v>36373120</v>
      </c>
      <c r="O17" s="190">
        <f t="shared" si="1"/>
        <v>0.88006581175901277</v>
      </c>
      <c r="P17" s="432">
        <f>L17</f>
        <v>4956880</v>
      </c>
      <c r="Q17" s="432">
        <f t="shared" si="3"/>
        <v>0</v>
      </c>
      <c r="R17" s="432">
        <f t="shared" si="4"/>
        <v>0</v>
      </c>
    </row>
    <row r="18" spans="1:18" s="192" customFormat="1" ht="27.75" customHeight="1" x14ac:dyDescent="0.2">
      <c r="A18" s="497">
        <v>20210102</v>
      </c>
      <c r="B18" s="175" t="s">
        <v>130</v>
      </c>
      <c r="C18" s="176">
        <f t="shared" ref="C18:H18" si="10">SUM(C19:C21)</f>
        <v>77000000</v>
      </c>
      <c r="D18" s="176">
        <f t="shared" si="10"/>
        <v>0</v>
      </c>
      <c r="E18" s="176">
        <f t="shared" si="10"/>
        <v>0</v>
      </c>
      <c r="F18" s="176">
        <f t="shared" si="10"/>
        <v>40000000</v>
      </c>
      <c r="G18" s="176">
        <f t="shared" si="10"/>
        <v>0</v>
      </c>
      <c r="H18" s="176">
        <f t="shared" si="10"/>
        <v>117000000</v>
      </c>
      <c r="I18" s="176">
        <f>SUM(I19:I21)</f>
        <v>83400000</v>
      </c>
      <c r="J18" s="176">
        <f>SUM(J19:J21)</f>
        <v>0</v>
      </c>
      <c r="K18" s="177">
        <f>L18/H18</f>
        <v>0.71282051282051284</v>
      </c>
      <c r="L18" s="191">
        <f>SUM(L19:L21)</f>
        <v>83400000</v>
      </c>
      <c r="M18" s="191">
        <f>SUM(M19:M21)</f>
        <v>83400000</v>
      </c>
      <c r="N18" s="191">
        <f>SUM(N19:N21)</f>
        <v>33600000</v>
      </c>
      <c r="O18" s="179">
        <f t="shared" si="1"/>
        <v>0.28717948717948716</v>
      </c>
      <c r="P18" s="176">
        <f>SUM(P19:P21)</f>
        <v>45700000</v>
      </c>
      <c r="Q18" s="176">
        <f>SUM(Q19:Q21)</f>
        <v>37700000</v>
      </c>
      <c r="R18" s="176">
        <f>SUM(R19:R21)</f>
        <v>0</v>
      </c>
    </row>
    <row r="19" spans="1:18" ht="15" x14ac:dyDescent="0.25">
      <c r="A19" s="496" t="s">
        <v>217</v>
      </c>
      <c r="B19" s="193" t="s">
        <v>25</v>
      </c>
      <c r="C19" s="159">
        <v>60000000</v>
      </c>
      <c r="D19" s="186"/>
      <c r="E19" s="457"/>
      <c r="F19" s="458">
        <v>20000000</v>
      </c>
      <c r="G19" s="459"/>
      <c r="H19" s="185">
        <f>C19-D19+E19+F19-G19</f>
        <v>80000000</v>
      </c>
      <c r="I19" s="186">
        <f>MAYO!I19+MAYO!J19</f>
        <v>62200000</v>
      </c>
      <c r="J19" s="186">
        <v>0</v>
      </c>
      <c r="K19" s="187">
        <f>L19/H19</f>
        <v>0.77749999999999997</v>
      </c>
      <c r="L19" s="188">
        <f>J19+I19</f>
        <v>62200000</v>
      </c>
      <c r="M19" s="321">
        <f>I19+J19</f>
        <v>62200000</v>
      </c>
      <c r="N19" s="189">
        <f>H19-L19</f>
        <v>17800000</v>
      </c>
      <c r="O19" s="190">
        <f t="shared" si="1"/>
        <v>0.2225</v>
      </c>
      <c r="P19" s="615">
        <f>4200000+4200000+4200000+2000000+13500000</f>
        <v>28100000</v>
      </c>
      <c r="Q19" s="432">
        <f>M19-P19</f>
        <v>34100000</v>
      </c>
      <c r="R19" s="432">
        <f>L19-M19</f>
        <v>0</v>
      </c>
    </row>
    <row r="20" spans="1:18" ht="15" x14ac:dyDescent="0.25">
      <c r="A20" s="496" t="s">
        <v>218</v>
      </c>
      <c r="B20" s="182" t="s">
        <v>27</v>
      </c>
      <c r="C20" s="159">
        <v>17000000</v>
      </c>
      <c r="D20" s="186"/>
      <c r="E20" s="457"/>
      <c r="F20" s="458">
        <v>20000000</v>
      </c>
      <c r="G20" s="459"/>
      <c r="H20" s="185">
        <f>C20-D20+E20+F20-G20</f>
        <v>37000000</v>
      </c>
      <c r="I20" s="186">
        <f>MAYO!I20+MAYO!J20</f>
        <v>21200000</v>
      </c>
      <c r="J20" s="186">
        <v>0</v>
      </c>
      <c r="K20" s="187">
        <f>L20/H20</f>
        <v>0.572972972972973</v>
      </c>
      <c r="L20" s="188">
        <f>J20+I20</f>
        <v>21200000</v>
      </c>
      <c r="M20" s="321">
        <f>I20+J20</f>
        <v>21200000</v>
      </c>
      <c r="N20" s="189">
        <f>H20-L20</f>
        <v>15800000</v>
      </c>
      <c r="O20" s="190">
        <v>0</v>
      </c>
      <c r="P20" s="615">
        <f>1800000+1800000+14000000</f>
        <v>17600000</v>
      </c>
      <c r="Q20" s="432">
        <f>M20-P20</f>
        <v>3600000</v>
      </c>
      <c r="R20" s="432">
        <f>L20-M20</f>
        <v>0</v>
      </c>
    </row>
    <row r="21" spans="1:18" ht="15" x14ac:dyDescent="0.25">
      <c r="A21" s="181">
        <v>2021010203</v>
      </c>
      <c r="B21" s="194" t="s">
        <v>29</v>
      </c>
      <c r="C21" s="183">
        <f>'PAC INICIAL 2021'!C35</f>
        <v>0</v>
      </c>
      <c r="D21" s="186"/>
      <c r="E21" s="457"/>
      <c r="F21" s="458"/>
      <c r="G21" s="459"/>
      <c r="H21" s="185">
        <f>C21-D21+E21+F21-G21</f>
        <v>0</v>
      </c>
      <c r="I21" s="186">
        <f>MAYO!I21+MAYO!J21</f>
        <v>0</v>
      </c>
      <c r="J21" s="186">
        <v>0</v>
      </c>
      <c r="K21" s="187">
        <v>0</v>
      </c>
      <c r="L21" s="188">
        <f>J21+I21</f>
        <v>0</v>
      </c>
      <c r="M21" s="321">
        <f>I21+J21</f>
        <v>0</v>
      </c>
      <c r="N21" s="189">
        <f>H21-L21</f>
        <v>0</v>
      </c>
      <c r="O21" s="190">
        <v>0</v>
      </c>
      <c r="P21" s="615">
        <v>0</v>
      </c>
      <c r="Q21" s="432">
        <f>M21-P21</f>
        <v>0</v>
      </c>
      <c r="R21" s="432">
        <f>L21-M21</f>
        <v>0</v>
      </c>
    </row>
    <row r="22" spans="1:18" ht="30" x14ac:dyDescent="0.2">
      <c r="A22" s="497">
        <v>20210103</v>
      </c>
      <c r="B22" s="200" t="s">
        <v>69</v>
      </c>
      <c r="C22" s="201">
        <f t="shared" ref="C22:I22" si="11">SUM(C23:C26)</f>
        <v>73229741</v>
      </c>
      <c r="D22" s="201">
        <f t="shared" si="11"/>
        <v>0</v>
      </c>
      <c r="E22" s="201">
        <f t="shared" si="11"/>
        <v>0</v>
      </c>
      <c r="F22" s="201">
        <f t="shared" si="11"/>
        <v>0</v>
      </c>
      <c r="G22" s="201">
        <f t="shared" si="11"/>
        <v>0</v>
      </c>
      <c r="H22" s="201">
        <f t="shared" si="11"/>
        <v>73229741</v>
      </c>
      <c r="I22" s="201">
        <f t="shared" si="11"/>
        <v>20112960</v>
      </c>
      <c r="J22" s="201">
        <f>SUM(J23:J26)</f>
        <v>9421528</v>
      </c>
      <c r="K22" s="177">
        <f>L22/H22</f>
        <v>0.40331274693433644</v>
      </c>
      <c r="L22" s="438">
        <f>SUM(L23:L26)</f>
        <v>29534488</v>
      </c>
      <c r="M22" s="438">
        <f>SUM(M23:M26)</f>
        <v>29534488</v>
      </c>
      <c r="N22" s="438">
        <f>SUM(N23:N26)</f>
        <v>43695253</v>
      </c>
      <c r="O22" s="179">
        <f t="shared" ref="O22:O29" si="12">N22/H22</f>
        <v>0.59668725306566361</v>
      </c>
      <c r="P22" s="176">
        <f>SUM(P23:P26)</f>
        <v>29534488</v>
      </c>
      <c r="Q22" s="176">
        <f>SUM(Q23:Q26)</f>
        <v>0</v>
      </c>
      <c r="R22" s="176">
        <f>SUM(R23:R26)</f>
        <v>0</v>
      </c>
    </row>
    <row r="23" spans="1:18" ht="15" x14ac:dyDescent="0.25">
      <c r="A23" s="496" t="s">
        <v>220</v>
      </c>
      <c r="B23" s="194" t="s">
        <v>71</v>
      </c>
      <c r="C23" s="159">
        <v>6000083</v>
      </c>
      <c r="D23" s="184"/>
      <c r="E23" s="457"/>
      <c r="F23" s="458"/>
      <c r="G23" s="459"/>
      <c r="H23" s="185">
        <f>C23-D23+E23+F23-G23</f>
        <v>6000083</v>
      </c>
      <c r="I23" s="186">
        <f>MAYO!I23+MAYO!J23</f>
        <v>959897</v>
      </c>
      <c r="J23" s="186">
        <v>0</v>
      </c>
      <c r="K23" s="187">
        <f t="shared" ref="K23:K29" si="13">L23/H23</f>
        <v>0.15998062026808629</v>
      </c>
      <c r="L23" s="188">
        <f>J23+I23</f>
        <v>959897</v>
      </c>
      <c r="M23" s="321">
        <f>I23+J23</f>
        <v>959897</v>
      </c>
      <c r="N23" s="189">
        <f>H23-L23</f>
        <v>5040186</v>
      </c>
      <c r="O23" s="190">
        <f t="shared" si="12"/>
        <v>0.84001937973191376</v>
      </c>
      <c r="P23" s="432">
        <f>M23</f>
        <v>959897</v>
      </c>
      <c r="Q23" s="432">
        <f>M23-P23</f>
        <v>0</v>
      </c>
      <c r="R23" s="432">
        <f>L23-M23</f>
        <v>0</v>
      </c>
    </row>
    <row r="24" spans="1:18" ht="15" x14ac:dyDescent="0.25">
      <c r="A24" s="496" t="s">
        <v>219</v>
      </c>
      <c r="B24" s="194" t="s">
        <v>73</v>
      </c>
      <c r="C24" s="159">
        <v>46429658</v>
      </c>
      <c r="D24" s="184"/>
      <c r="E24" s="457"/>
      <c r="F24" s="458"/>
      <c r="G24" s="459"/>
      <c r="H24" s="185">
        <f>C24-D24+E24+F24-G24</f>
        <v>46429658</v>
      </c>
      <c r="I24" s="186">
        <f>MAYO!I24+MAYO!J24</f>
        <v>16152324</v>
      </c>
      <c r="J24" s="186">
        <v>8028260</v>
      </c>
      <c r="K24" s="187">
        <f t="shared" si="13"/>
        <v>0.52080039012994672</v>
      </c>
      <c r="L24" s="188">
        <f>J24+I24</f>
        <v>24180584</v>
      </c>
      <c r="M24" s="321">
        <f>I24+J24</f>
        <v>24180584</v>
      </c>
      <c r="N24" s="189">
        <f>H24-L24</f>
        <v>22249074</v>
      </c>
      <c r="O24" s="190">
        <f t="shared" si="12"/>
        <v>0.47919960987005333</v>
      </c>
      <c r="P24" s="432">
        <f>L24</f>
        <v>24180584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221</v>
      </c>
      <c r="B25" s="194" t="s">
        <v>74</v>
      </c>
      <c r="C25" s="159">
        <v>14000000</v>
      </c>
      <c r="D25" s="184"/>
      <c r="E25" s="457"/>
      <c r="F25" s="458"/>
      <c r="G25" s="459"/>
      <c r="H25" s="185">
        <f>C25-D25+E25+F25-G25</f>
        <v>14000000</v>
      </c>
      <c r="I25" s="186">
        <f>MAYO!I25+MAYO!J25</f>
        <v>2885551</v>
      </c>
      <c r="J25" s="186">
        <v>1393268</v>
      </c>
      <c r="K25" s="187">
        <f t="shared" si="13"/>
        <v>0.30562992857142857</v>
      </c>
      <c r="L25" s="188">
        <f>J25+I25</f>
        <v>4278819</v>
      </c>
      <c r="M25" s="321">
        <f>I25+J25</f>
        <v>4278819</v>
      </c>
      <c r="N25" s="189">
        <f>H25-L25</f>
        <v>9721181</v>
      </c>
      <c r="O25" s="190">
        <f t="shared" si="12"/>
        <v>0.69437007142857143</v>
      </c>
      <c r="P25" s="432">
        <f>L25</f>
        <v>4278819</v>
      </c>
      <c r="Q25" s="432">
        <f>M25-P25</f>
        <v>0</v>
      </c>
      <c r="R25" s="432">
        <f>L25-M25</f>
        <v>0</v>
      </c>
    </row>
    <row r="26" spans="1:18" ht="15" x14ac:dyDescent="0.25">
      <c r="A26" s="496" t="s">
        <v>222</v>
      </c>
      <c r="B26" s="194" t="s">
        <v>75</v>
      </c>
      <c r="C26" s="159">
        <v>6800000</v>
      </c>
      <c r="D26" s="202"/>
      <c r="E26" s="457"/>
      <c r="F26" s="458"/>
      <c r="G26" s="459"/>
      <c r="H26" s="185">
        <f>C26-D26+E26+F26-G26</f>
        <v>6800000</v>
      </c>
      <c r="I26" s="186">
        <f>MAYO!I26+MAYO!J26</f>
        <v>115188</v>
      </c>
      <c r="J26" s="186">
        <v>0</v>
      </c>
      <c r="K26" s="187">
        <f t="shared" si="13"/>
        <v>1.6939411764705883E-2</v>
      </c>
      <c r="L26" s="188">
        <f>J26+I26</f>
        <v>115188</v>
      </c>
      <c r="M26" s="321">
        <f>I26+J26</f>
        <v>115188</v>
      </c>
      <c r="N26" s="189">
        <f>H26-L26</f>
        <v>6684812</v>
      </c>
      <c r="O26" s="190">
        <f t="shared" si="12"/>
        <v>0.98306058823529407</v>
      </c>
      <c r="P26" s="432">
        <f>L26</f>
        <v>115188</v>
      </c>
      <c r="Q26" s="432">
        <f>M26-P26</f>
        <v>0</v>
      </c>
      <c r="R26" s="432">
        <f>L26-M26</f>
        <v>0</v>
      </c>
    </row>
    <row r="27" spans="1:18" ht="35.25" customHeight="1" x14ac:dyDescent="0.2">
      <c r="A27" s="497">
        <v>20210104</v>
      </c>
      <c r="B27" s="200" t="s">
        <v>76</v>
      </c>
      <c r="C27" s="201">
        <f t="shared" ref="C27:I27" si="14">SUM(C28:C38)</f>
        <v>133100000</v>
      </c>
      <c r="D27" s="201">
        <f t="shared" si="14"/>
        <v>0</v>
      </c>
      <c r="E27" s="201">
        <f t="shared" si="14"/>
        <v>30000000</v>
      </c>
      <c r="F27" s="201">
        <f t="shared" si="14"/>
        <v>3000000</v>
      </c>
      <c r="G27" s="201">
        <f t="shared" si="14"/>
        <v>0</v>
      </c>
      <c r="H27" s="201">
        <f t="shared" si="14"/>
        <v>166100000</v>
      </c>
      <c r="I27" s="176">
        <f t="shared" si="14"/>
        <v>50320429</v>
      </c>
      <c r="J27" s="176">
        <f>SUM(J28:J38)</f>
        <v>19493425</v>
      </c>
      <c r="K27" s="177">
        <f t="shared" si="13"/>
        <v>0.42031218543046356</v>
      </c>
      <c r="L27" s="178">
        <f>SUM(L28:L38)</f>
        <v>69813854</v>
      </c>
      <c r="M27" s="191">
        <f>SUM(M28:M38)</f>
        <v>69813854</v>
      </c>
      <c r="N27" s="191">
        <f>SUM(N28:N38)</f>
        <v>96286146</v>
      </c>
      <c r="O27" s="179">
        <f t="shared" si="12"/>
        <v>0.57968781456953644</v>
      </c>
      <c r="P27" s="176">
        <f>SUM(P28:P38)</f>
        <v>69813854</v>
      </c>
      <c r="Q27" s="176">
        <f>SUM(Q28:Q38)</f>
        <v>0</v>
      </c>
      <c r="R27" s="176">
        <f>SUM(R28:R44)</f>
        <v>0</v>
      </c>
    </row>
    <row r="28" spans="1:18" ht="15" x14ac:dyDescent="0.25">
      <c r="A28" s="496" t="s">
        <v>223</v>
      </c>
      <c r="B28" s="194" t="s">
        <v>78</v>
      </c>
      <c r="C28" s="159">
        <v>12000000</v>
      </c>
      <c r="D28" s="184"/>
      <c r="E28" s="457"/>
      <c r="F28" s="458">
        <v>3000000</v>
      </c>
      <c r="G28" s="459"/>
      <c r="H28" s="185">
        <f t="shared" ref="H28:H38" si="15">C28-D28+E28+F28-G28</f>
        <v>15000000</v>
      </c>
      <c r="I28" s="186">
        <f>MAYO!I28+MAYO!J28</f>
        <v>12343990</v>
      </c>
      <c r="J28" s="186">
        <v>0</v>
      </c>
      <c r="K28" s="187">
        <f t="shared" si="13"/>
        <v>0.82293266666666665</v>
      </c>
      <c r="L28" s="188">
        <f t="shared" ref="L28:L38" si="16">J28+I28</f>
        <v>12343990</v>
      </c>
      <c r="M28" s="321">
        <f>I28+J28</f>
        <v>12343990</v>
      </c>
      <c r="N28" s="189">
        <f t="shared" ref="N28:N38" si="17">H28-L28</f>
        <v>2656010</v>
      </c>
      <c r="O28" s="190">
        <f t="shared" si="12"/>
        <v>0.17706733333333333</v>
      </c>
      <c r="P28" s="188">
        <f>L28-J28</f>
        <v>12343990</v>
      </c>
      <c r="Q28" s="432">
        <f t="shared" ref="Q28:Q38" si="18">M28-P28</f>
        <v>0</v>
      </c>
      <c r="R28" s="432">
        <f t="shared" ref="R28:R44" si="19">L28-M28</f>
        <v>0</v>
      </c>
    </row>
    <row r="29" spans="1:18" ht="15" x14ac:dyDescent="0.25">
      <c r="A29" s="496">
        <v>2021010401</v>
      </c>
      <c r="B29" s="194" t="s">
        <v>295</v>
      </c>
      <c r="C29" s="159"/>
      <c r="D29" s="184"/>
      <c r="E29" s="457">
        <v>30000000</v>
      </c>
      <c r="F29" s="458"/>
      <c r="G29" s="459"/>
      <c r="H29" s="185">
        <f t="shared" si="15"/>
        <v>30000000</v>
      </c>
      <c r="I29" s="186">
        <f>MAYO!I29+MAYO!J29</f>
        <v>0</v>
      </c>
      <c r="J29" s="186">
        <v>0</v>
      </c>
      <c r="K29" s="187">
        <f t="shared" si="13"/>
        <v>0</v>
      </c>
      <c r="L29" s="188">
        <f t="shared" si="16"/>
        <v>0</v>
      </c>
      <c r="M29" s="321">
        <f>I29+J29</f>
        <v>0</v>
      </c>
      <c r="N29" s="189">
        <f t="shared" si="17"/>
        <v>30000000</v>
      </c>
      <c r="O29" s="190">
        <f t="shared" si="12"/>
        <v>1</v>
      </c>
      <c r="P29" s="188">
        <f>L29-J29</f>
        <v>0</v>
      </c>
      <c r="Q29" s="432"/>
      <c r="R29" s="432"/>
    </row>
    <row r="30" spans="1:18" ht="15" x14ac:dyDescent="0.25">
      <c r="A30" s="181">
        <v>2021010402</v>
      </c>
      <c r="B30" s="194" t="s">
        <v>73</v>
      </c>
      <c r="C30" s="159">
        <v>0</v>
      </c>
      <c r="D30" s="184"/>
      <c r="E30" s="457"/>
      <c r="F30" s="458"/>
      <c r="G30" s="459"/>
      <c r="H30" s="185">
        <f t="shared" si="15"/>
        <v>0</v>
      </c>
      <c r="I30" s="186">
        <f>MAYO!I30+MAYO!J30</f>
        <v>0</v>
      </c>
      <c r="J30" s="186">
        <v>0</v>
      </c>
      <c r="K30" s="187">
        <v>0</v>
      </c>
      <c r="L30" s="196">
        <f t="shared" si="16"/>
        <v>0</v>
      </c>
      <c r="M30" s="321">
        <f t="shared" ref="M30:M38" si="20">I30+J30</f>
        <v>0</v>
      </c>
      <c r="N30" s="189">
        <f t="shared" si="17"/>
        <v>0</v>
      </c>
      <c r="O30" s="190">
        <v>0</v>
      </c>
      <c r="P30" s="188">
        <f t="shared" ref="P30:P38" si="21">L30</f>
        <v>0</v>
      </c>
      <c r="Q30" s="432">
        <f t="shared" si="18"/>
        <v>0</v>
      </c>
      <c r="R30" s="432">
        <f t="shared" si="19"/>
        <v>0</v>
      </c>
    </row>
    <row r="31" spans="1:18" ht="15" x14ac:dyDescent="0.25">
      <c r="A31" s="496" t="s">
        <v>224</v>
      </c>
      <c r="B31" s="194" t="s">
        <v>81</v>
      </c>
      <c r="C31" s="159">
        <v>3900000</v>
      </c>
      <c r="D31" s="184"/>
      <c r="E31" s="457"/>
      <c r="F31" s="458"/>
      <c r="G31" s="459"/>
      <c r="H31" s="185">
        <f t="shared" si="15"/>
        <v>3900000</v>
      </c>
      <c r="I31" s="186">
        <f>MAYO!I31+MAYO!J31</f>
        <v>938200</v>
      </c>
      <c r="J31" s="186">
        <v>495100</v>
      </c>
      <c r="K31" s="187">
        <f t="shared" ref="K31:K37" si="22">L31/H31</f>
        <v>0.36751282051282053</v>
      </c>
      <c r="L31" s="188">
        <f t="shared" si="16"/>
        <v>1433300</v>
      </c>
      <c r="M31" s="321">
        <f t="shared" si="20"/>
        <v>1433300</v>
      </c>
      <c r="N31" s="189">
        <f t="shared" si="17"/>
        <v>2466700</v>
      </c>
      <c r="O31" s="190">
        <f t="shared" ref="O31:O37" si="23">N31/H31</f>
        <v>0.63248717948717947</v>
      </c>
      <c r="P31" s="188">
        <f>L31</f>
        <v>1433300</v>
      </c>
      <c r="Q31" s="432">
        <f t="shared" si="18"/>
        <v>0</v>
      </c>
      <c r="R31" s="432">
        <f t="shared" si="19"/>
        <v>0</v>
      </c>
    </row>
    <row r="32" spans="1:18" ht="15" x14ac:dyDescent="0.25">
      <c r="A32" s="496" t="s">
        <v>225</v>
      </c>
      <c r="B32" s="194" t="s">
        <v>74</v>
      </c>
      <c r="C32" s="159">
        <v>52000000</v>
      </c>
      <c r="D32" s="184"/>
      <c r="E32" s="457"/>
      <c r="F32" s="458"/>
      <c r="G32" s="459"/>
      <c r="H32" s="185">
        <f t="shared" si="15"/>
        <v>52000000</v>
      </c>
      <c r="I32" s="186">
        <f>MAYO!I32+MAYO!J32</f>
        <v>19890339</v>
      </c>
      <c r="J32" s="186">
        <v>9896625</v>
      </c>
      <c r="K32" s="187">
        <f t="shared" si="22"/>
        <v>0.57282623076923078</v>
      </c>
      <c r="L32" s="188">
        <f t="shared" si="16"/>
        <v>29786964</v>
      </c>
      <c r="M32" s="321">
        <f t="shared" si="20"/>
        <v>29786964</v>
      </c>
      <c r="N32" s="189">
        <f t="shared" si="17"/>
        <v>22213036</v>
      </c>
      <c r="O32" s="190">
        <f t="shared" si="23"/>
        <v>0.42717376923076922</v>
      </c>
      <c r="P32" s="188">
        <f>L32</f>
        <v>29786964</v>
      </c>
      <c r="Q32" s="432">
        <f t="shared" si="18"/>
        <v>0</v>
      </c>
      <c r="R32" s="432">
        <f t="shared" si="19"/>
        <v>0</v>
      </c>
    </row>
    <row r="33" spans="1:18" ht="15" x14ac:dyDescent="0.25">
      <c r="A33" s="496" t="s">
        <v>226</v>
      </c>
      <c r="B33" s="194" t="s">
        <v>84</v>
      </c>
      <c r="C33" s="159">
        <v>27000000</v>
      </c>
      <c r="D33" s="184"/>
      <c r="E33" s="457"/>
      <c r="F33" s="458"/>
      <c r="G33" s="459"/>
      <c r="H33" s="185">
        <f t="shared" si="15"/>
        <v>27000000</v>
      </c>
      <c r="I33" s="186">
        <f>MAYO!I33+MAYO!J33</f>
        <v>7619100</v>
      </c>
      <c r="J33" s="209">
        <v>4044300</v>
      </c>
      <c r="K33" s="187">
        <f t="shared" si="22"/>
        <v>0.43197777777777779</v>
      </c>
      <c r="L33" s="188">
        <f t="shared" si="16"/>
        <v>11663400</v>
      </c>
      <c r="M33" s="321">
        <f t="shared" si="20"/>
        <v>11663400</v>
      </c>
      <c r="N33" s="189">
        <f t="shared" si="17"/>
        <v>15336600</v>
      </c>
      <c r="O33" s="190">
        <f t="shared" si="23"/>
        <v>0.56802222222222221</v>
      </c>
      <c r="P33" s="188">
        <f t="shared" si="21"/>
        <v>11663400</v>
      </c>
      <c r="Q33" s="432">
        <f t="shared" si="18"/>
        <v>0</v>
      </c>
      <c r="R33" s="432">
        <f t="shared" si="19"/>
        <v>0</v>
      </c>
    </row>
    <row r="34" spans="1:18" ht="15" x14ac:dyDescent="0.25">
      <c r="A34" s="496" t="s">
        <v>227</v>
      </c>
      <c r="B34" s="194" t="s">
        <v>86</v>
      </c>
      <c r="C34" s="159">
        <v>23000000</v>
      </c>
      <c r="D34" s="184"/>
      <c r="E34" s="457"/>
      <c r="F34" s="458"/>
      <c r="G34" s="459"/>
      <c r="H34" s="185">
        <f t="shared" si="15"/>
        <v>23000000</v>
      </c>
      <c r="I34" s="186">
        <f>MAYO!I34+MAYO!J34</f>
        <v>5714200</v>
      </c>
      <c r="J34" s="186">
        <v>3033100</v>
      </c>
      <c r="K34" s="187">
        <f t="shared" si="22"/>
        <v>0.38031739130434783</v>
      </c>
      <c r="L34" s="188">
        <f t="shared" si="16"/>
        <v>8747300</v>
      </c>
      <c r="M34" s="321">
        <f t="shared" si="20"/>
        <v>8747300</v>
      </c>
      <c r="N34" s="189">
        <f t="shared" si="17"/>
        <v>14252700</v>
      </c>
      <c r="O34" s="190">
        <f t="shared" si="23"/>
        <v>0.61968260869565217</v>
      </c>
      <c r="P34" s="188">
        <f>L34</f>
        <v>8747300</v>
      </c>
      <c r="Q34" s="432">
        <f t="shared" si="18"/>
        <v>0</v>
      </c>
      <c r="R34" s="432">
        <f t="shared" si="19"/>
        <v>0</v>
      </c>
    </row>
    <row r="35" spans="1:18" ht="15" x14ac:dyDescent="0.25">
      <c r="A35" s="496" t="s">
        <v>228</v>
      </c>
      <c r="B35" s="194" t="s">
        <v>88</v>
      </c>
      <c r="C35" s="159">
        <v>4000000</v>
      </c>
      <c r="D35" s="184"/>
      <c r="E35" s="457"/>
      <c r="F35" s="458"/>
      <c r="G35" s="459"/>
      <c r="H35" s="185">
        <f t="shared" si="15"/>
        <v>4000000</v>
      </c>
      <c r="I35" s="186">
        <f>MAYO!I35+MAYO!J35</f>
        <v>954100</v>
      </c>
      <c r="J35" s="186">
        <v>506200</v>
      </c>
      <c r="K35" s="187">
        <f t="shared" si="22"/>
        <v>0.36507499999999998</v>
      </c>
      <c r="L35" s="188">
        <f t="shared" si="16"/>
        <v>1460300</v>
      </c>
      <c r="M35" s="321">
        <f t="shared" si="20"/>
        <v>1460300</v>
      </c>
      <c r="N35" s="189">
        <f t="shared" si="17"/>
        <v>2539700</v>
      </c>
      <c r="O35" s="190">
        <f t="shared" si="23"/>
        <v>0.63492499999999996</v>
      </c>
      <c r="P35" s="188">
        <f t="shared" si="21"/>
        <v>1460300</v>
      </c>
      <c r="Q35" s="432">
        <f t="shared" si="18"/>
        <v>0</v>
      </c>
      <c r="R35" s="432">
        <f t="shared" si="19"/>
        <v>0</v>
      </c>
    </row>
    <row r="36" spans="1:18" ht="15" x14ac:dyDescent="0.25">
      <c r="A36" s="496" t="s">
        <v>229</v>
      </c>
      <c r="B36" s="194" t="s">
        <v>90</v>
      </c>
      <c r="C36" s="159">
        <v>4000000</v>
      </c>
      <c r="D36" s="184"/>
      <c r="E36" s="457"/>
      <c r="F36" s="458"/>
      <c r="G36" s="459"/>
      <c r="H36" s="185">
        <f t="shared" si="15"/>
        <v>4000000</v>
      </c>
      <c r="I36" s="186">
        <f>MAYO!I36+MAYO!J36</f>
        <v>954100</v>
      </c>
      <c r="J36" s="186">
        <v>506200</v>
      </c>
      <c r="K36" s="187">
        <f t="shared" si="22"/>
        <v>0.36507499999999998</v>
      </c>
      <c r="L36" s="188">
        <f t="shared" si="16"/>
        <v>1460300</v>
      </c>
      <c r="M36" s="321">
        <f t="shared" si="20"/>
        <v>1460300</v>
      </c>
      <c r="N36" s="189">
        <f t="shared" si="17"/>
        <v>2539700</v>
      </c>
      <c r="O36" s="190">
        <f t="shared" si="23"/>
        <v>0.63492499999999996</v>
      </c>
      <c r="P36" s="188">
        <f t="shared" si="21"/>
        <v>1460300</v>
      </c>
      <c r="Q36" s="432">
        <f t="shared" si="18"/>
        <v>0</v>
      </c>
      <c r="R36" s="432">
        <f t="shared" si="19"/>
        <v>0</v>
      </c>
    </row>
    <row r="37" spans="1:18" ht="15" x14ac:dyDescent="0.25">
      <c r="A37" s="496" t="s">
        <v>230</v>
      </c>
      <c r="B37" s="194" t="s">
        <v>92</v>
      </c>
      <c r="C37" s="159">
        <v>7200000</v>
      </c>
      <c r="D37" s="184"/>
      <c r="E37" s="457"/>
      <c r="F37" s="458"/>
      <c r="G37" s="459"/>
      <c r="H37" s="185">
        <f t="shared" si="15"/>
        <v>7200000</v>
      </c>
      <c r="I37" s="186">
        <f>MAYO!I37+MAYO!J37</f>
        <v>1906400</v>
      </c>
      <c r="J37" s="186">
        <v>1011900</v>
      </c>
      <c r="K37" s="187">
        <f t="shared" si="22"/>
        <v>0.40531944444444445</v>
      </c>
      <c r="L37" s="188">
        <f t="shared" si="16"/>
        <v>2918300</v>
      </c>
      <c r="M37" s="321">
        <f t="shared" si="20"/>
        <v>2918300</v>
      </c>
      <c r="N37" s="189">
        <f t="shared" si="17"/>
        <v>4281700</v>
      </c>
      <c r="O37" s="190">
        <f t="shared" si="23"/>
        <v>0.59468055555555555</v>
      </c>
      <c r="P37" s="188">
        <f t="shared" si="21"/>
        <v>2918300</v>
      </c>
      <c r="Q37" s="432">
        <f t="shared" si="18"/>
        <v>0</v>
      </c>
      <c r="R37" s="432">
        <f t="shared" si="19"/>
        <v>0</v>
      </c>
    </row>
    <row r="38" spans="1:18" ht="15" x14ac:dyDescent="0.25">
      <c r="A38" s="181">
        <v>2021010410</v>
      </c>
      <c r="B38" s="194" t="s">
        <v>94</v>
      </c>
      <c r="C38" s="159">
        <v>0</v>
      </c>
      <c r="D38" s="186"/>
      <c r="E38" s="457"/>
      <c r="F38" s="458"/>
      <c r="G38" s="459"/>
      <c r="H38" s="185">
        <f t="shared" si="15"/>
        <v>0</v>
      </c>
      <c r="I38" s="186">
        <f>MAYO!I38+MAYO!J38</f>
        <v>0</v>
      </c>
      <c r="J38" s="186">
        <v>0</v>
      </c>
      <c r="K38" s="187">
        <v>0</v>
      </c>
      <c r="L38" s="196">
        <f t="shared" si="16"/>
        <v>0</v>
      </c>
      <c r="M38" s="321">
        <f t="shared" si="20"/>
        <v>0</v>
      </c>
      <c r="N38" s="189">
        <f t="shared" si="17"/>
        <v>0</v>
      </c>
      <c r="O38" s="190">
        <v>0</v>
      </c>
      <c r="P38" s="188">
        <f t="shared" si="21"/>
        <v>0</v>
      </c>
      <c r="Q38" s="432">
        <f t="shared" si="18"/>
        <v>0</v>
      </c>
      <c r="R38" s="432">
        <f t="shared" si="19"/>
        <v>0</v>
      </c>
    </row>
    <row r="39" spans="1:18" s="192" customFormat="1" ht="27.75" customHeight="1" x14ac:dyDescent="0.2">
      <c r="A39" s="498">
        <v>20210201</v>
      </c>
      <c r="B39" s="195" t="s">
        <v>31</v>
      </c>
      <c r="C39" s="176">
        <f t="shared" ref="C39:J39" si="24">SUM(C40:C43)</f>
        <v>27300000</v>
      </c>
      <c r="D39" s="176">
        <f t="shared" si="24"/>
        <v>0</v>
      </c>
      <c r="E39" s="176">
        <f t="shared" si="24"/>
        <v>0</v>
      </c>
      <c r="F39" s="176">
        <f t="shared" si="24"/>
        <v>10300000</v>
      </c>
      <c r="G39" s="176">
        <f t="shared" si="24"/>
        <v>0</v>
      </c>
      <c r="H39" s="176">
        <f t="shared" si="24"/>
        <v>37600000</v>
      </c>
      <c r="I39" s="176">
        <f t="shared" si="24"/>
        <v>24787000</v>
      </c>
      <c r="J39" s="176">
        <f t="shared" si="24"/>
        <v>899900</v>
      </c>
      <c r="K39" s="177">
        <f>L39/H39</f>
        <v>0.68316223404255316</v>
      </c>
      <c r="L39" s="191">
        <f>SUM(L40:L43)</f>
        <v>25686900</v>
      </c>
      <c r="M39" s="191">
        <f>SUM(M40:M43)</f>
        <v>25686900</v>
      </c>
      <c r="N39" s="176">
        <f>SUM(N40:N43)</f>
        <v>11913100</v>
      </c>
      <c r="O39" s="179">
        <f>N39/H39</f>
        <v>0.31683776595744678</v>
      </c>
      <c r="P39" s="176">
        <f>SUM(P40:P43)</f>
        <v>25686900</v>
      </c>
      <c r="Q39" s="176">
        <f>SUM(Q40:Q43)</f>
        <v>0</v>
      </c>
      <c r="R39" s="176">
        <f t="shared" si="19"/>
        <v>0</v>
      </c>
    </row>
    <row r="40" spans="1:18" ht="15" x14ac:dyDescent="0.25">
      <c r="A40" s="496" t="s">
        <v>231</v>
      </c>
      <c r="B40" s="194" t="s">
        <v>33</v>
      </c>
      <c r="C40" s="159">
        <v>6000000</v>
      </c>
      <c r="D40" s="186"/>
      <c r="E40" s="457"/>
      <c r="F40" s="458"/>
      <c r="G40" s="459"/>
      <c r="H40" s="185">
        <f>C40-D40+E40+F40-G40</f>
        <v>6000000</v>
      </c>
      <c r="I40" s="186">
        <f>MAYO!I40+MAYO!J40</f>
        <v>0</v>
      </c>
      <c r="J40" s="186">
        <v>0</v>
      </c>
      <c r="K40" s="187">
        <v>0</v>
      </c>
      <c r="L40" s="188">
        <f>J40+I40</f>
        <v>0</v>
      </c>
      <c r="M40" s="321">
        <f>I40+J40</f>
        <v>0</v>
      </c>
      <c r="N40" s="189">
        <f>H40-L40</f>
        <v>6000000</v>
      </c>
      <c r="O40" s="190">
        <v>0</v>
      </c>
      <c r="P40" s="432">
        <f>M40</f>
        <v>0</v>
      </c>
      <c r="Q40" s="432">
        <f>M40-P40</f>
        <v>0</v>
      </c>
      <c r="R40" s="432">
        <f t="shared" si="19"/>
        <v>0</v>
      </c>
    </row>
    <row r="41" spans="1:18" ht="15" x14ac:dyDescent="0.25">
      <c r="A41" s="496">
        <v>2021020102</v>
      </c>
      <c r="B41" s="197" t="s">
        <v>35</v>
      </c>
      <c r="C41" s="159">
        <v>20000000</v>
      </c>
      <c r="D41" s="186"/>
      <c r="E41" s="457"/>
      <c r="F41" s="458">
        <v>10000000</v>
      </c>
      <c r="G41" s="459"/>
      <c r="H41" s="185">
        <f>C41-D41+E41+F41-G41</f>
        <v>30000000</v>
      </c>
      <c r="I41" s="186">
        <f>MAYO!I41+MAYO!J41</f>
        <v>23187000</v>
      </c>
      <c r="J41" s="186">
        <v>1300000</v>
      </c>
      <c r="K41" s="187">
        <f>L41/H41</f>
        <v>0.81623333333333337</v>
      </c>
      <c r="L41" s="188">
        <f>J41+I41</f>
        <v>24487000</v>
      </c>
      <c r="M41" s="321">
        <f>I41+J41</f>
        <v>24487000</v>
      </c>
      <c r="N41" s="189">
        <f>H41-L41</f>
        <v>5513000</v>
      </c>
      <c r="O41" s="198">
        <f>N41/H41</f>
        <v>0.18376666666666666</v>
      </c>
      <c r="P41" s="432">
        <f>M41</f>
        <v>24487000</v>
      </c>
      <c r="Q41" s="432">
        <f>M41-P41</f>
        <v>0</v>
      </c>
      <c r="R41" s="432">
        <f t="shared" si="19"/>
        <v>0</v>
      </c>
    </row>
    <row r="42" spans="1:18" ht="15" x14ac:dyDescent="0.25">
      <c r="A42" s="496" t="s">
        <v>233</v>
      </c>
      <c r="B42" s="194" t="s">
        <v>37</v>
      </c>
      <c r="C42" s="159">
        <v>1300000</v>
      </c>
      <c r="D42" s="186"/>
      <c r="E42" s="457"/>
      <c r="F42" s="458">
        <v>300000</v>
      </c>
      <c r="G42" s="459"/>
      <c r="H42" s="185">
        <f>C42-D42+E42+F42-G42</f>
        <v>1600000</v>
      </c>
      <c r="I42" s="186">
        <f>MAYO!I42+MAYO!J42</f>
        <v>1600000</v>
      </c>
      <c r="J42" s="186">
        <v>-400100</v>
      </c>
      <c r="K42" s="187">
        <f>L42/H42</f>
        <v>0.74993750000000003</v>
      </c>
      <c r="L42" s="188">
        <f>J42+I42</f>
        <v>1199900</v>
      </c>
      <c r="M42" s="321">
        <f>I42+J42</f>
        <v>1199900</v>
      </c>
      <c r="N42" s="189">
        <f>H42-L42</f>
        <v>400100</v>
      </c>
      <c r="O42" s="198">
        <f>N42/H42</f>
        <v>0.25006250000000002</v>
      </c>
      <c r="P42" s="188">
        <f>L42</f>
        <v>1199900</v>
      </c>
      <c r="Q42" s="432">
        <f>M42-P42</f>
        <v>0</v>
      </c>
      <c r="R42" s="432">
        <f t="shared" si="19"/>
        <v>0</v>
      </c>
    </row>
    <row r="43" spans="1:18" ht="15" x14ac:dyDescent="0.25">
      <c r="A43" s="181">
        <v>202120105</v>
      </c>
      <c r="B43" s="194" t="s">
        <v>39</v>
      </c>
      <c r="C43" s="159">
        <v>0</v>
      </c>
      <c r="D43" s="186"/>
      <c r="E43" s="457"/>
      <c r="F43" s="458"/>
      <c r="G43" s="459"/>
      <c r="H43" s="185">
        <f>C43-D43+E43+F43-G43</f>
        <v>0</v>
      </c>
      <c r="I43" s="186">
        <f>MAYO!I43+MAYO!J43</f>
        <v>0</v>
      </c>
      <c r="J43" s="186">
        <v>0</v>
      </c>
      <c r="K43" s="187">
        <v>0</v>
      </c>
      <c r="L43" s="196">
        <f>J43+I43</f>
        <v>0</v>
      </c>
      <c r="M43" s="321">
        <f>I43+J43</f>
        <v>0</v>
      </c>
      <c r="N43" s="189">
        <f>H43-L43</f>
        <v>0</v>
      </c>
      <c r="O43" s="198">
        <v>0</v>
      </c>
      <c r="P43" s="188">
        <f>L43</f>
        <v>0</v>
      </c>
      <c r="Q43" s="432">
        <f>M43-P43</f>
        <v>0</v>
      </c>
      <c r="R43" s="432">
        <f t="shared" si="19"/>
        <v>0</v>
      </c>
    </row>
    <row r="44" spans="1:18" s="192" customFormat="1" ht="27.75" customHeight="1" x14ac:dyDescent="0.2">
      <c r="A44" s="498" t="s">
        <v>235</v>
      </c>
      <c r="B44" s="195" t="s">
        <v>41</v>
      </c>
      <c r="C44" s="176">
        <f t="shared" ref="C44:I44" si="25">SUM(C45:C60)</f>
        <v>158227607</v>
      </c>
      <c r="D44" s="176">
        <f t="shared" si="25"/>
        <v>0</v>
      </c>
      <c r="E44" s="176">
        <f t="shared" si="25"/>
        <v>0</v>
      </c>
      <c r="F44" s="176">
        <f t="shared" si="25"/>
        <v>13000000</v>
      </c>
      <c r="G44" s="176">
        <f t="shared" si="25"/>
        <v>0</v>
      </c>
      <c r="H44" s="176">
        <f t="shared" si="25"/>
        <v>171227607</v>
      </c>
      <c r="I44" s="176">
        <f t="shared" si="25"/>
        <v>49547382</v>
      </c>
      <c r="J44" s="176">
        <f>SUM(J45:J60)</f>
        <v>27255339</v>
      </c>
      <c r="K44" s="177">
        <f>L44/H44</f>
        <v>0.44854169456447524</v>
      </c>
      <c r="L44" s="178">
        <f>SUM(L45:L60)</f>
        <v>76802721</v>
      </c>
      <c r="M44" s="178">
        <f>SUM(M45:M60)</f>
        <v>76802721</v>
      </c>
      <c r="N44" s="191">
        <f>SUM(N45:N60)</f>
        <v>94424886</v>
      </c>
      <c r="O44" s="179">
        <f t="shared" ref="O44:O49" si="26">N44/H44</f>
        <v>0.55145830543552476</v>
      </c>
      <c r="P44" s="191">
        <f>SUM(P45:P60)</f>
        <v>76802721</v>
      </c>
      <c r="Q44" s="191">
        <f>SUM(Q45:Q60)</f>
        <v>0</v>
      </c>
      <c r="R44" s="191">
        <f t="shared" si="19"/>
        <v>0</v>
      </c>
    </row>
    <row r="45" spans="1:18" ht="15.75" x14ac:dyDescent="0.25">
      <c r="A45" s="496">
        <v>2021020201</v>
      </c>
      <c r="B45" s="194" t="s">
        <v>43</v>
      </c>
      <c r="C45" s="159">
        <v>9400000</v>
      </c>
      <c r="D45" s="186"/>
      <c r="E45" s="457"/>
      <c r="F45" s="458">
        <v>3000000</v>
      </c>
      <c r="G45" s="459"/>
      <c r="H45" s="185">
        <f t="shared" ref="H45:H60" si="27">C45-D45+E45+F45-G45</f>
        <v>12400000</v>
      </c>
      <c r="I45" s="186">
        <f>MAYO!I45+MAYO!J45</f>
        <v>5600000</v>
      </c>
      <c r="J45" s="209">
        <v>1400000</v>
      </c>
      <c r="K45" s="187">
        <f t="shared" ref="K45:K51" si="28">L45/H45</f>
        <v>0.56451612903225812</v>
      </c>
      <c r="L45" s="188">
        <f>J45+I45</f>
        <v>7000000</v>
      </c>
      <c r="M45" s="434">
        <f>I45+J45</f>
        <v>7000000</v>
      </c>
      <c r="N45" s="437">
        <f t="shared" ref="N45:N60" si="29">H45-L45</f>
        <v>5400000</v>
      </c>
      <c r="O45" s="436">
        <f t="shared" si="26"/>
        <v>0.43548387096774194</v>
      </c>
      <c r="P45" s="188">
        <f t="shared" ref="P45:P60" si="30">L45</f>
        <v>7000000</v>
      </c>
      <c r="Q45" s="432">
        <f t="shared" ref="Q45:Q60" si="31">M45-P45</f>
        <v>0</v>
      </c>
      <c r="R45" s="435">
        <f>SUM(R46:R49)</f>
        <v>0</v>
      </c>
    </row>
    <row r="46" spans="1:18" ht="15" x14ac:dyDescent="0.25">
      <c r="A46" s="496" t="s">
        <v>236</v>
      </c>
      <c r="B46" s="194" t="s">
        <v>44</v>
      </c>
      <c r="C46" s="159">
        <v>73027607</v>
      </c>
      <c r="D46" s="186"/>
      <c r="E46" s="457"/>
      <c r="F46" s="458"/>
      <c r="G46" s="459"/>
      <c r="H46" s="185">
        <f t="shared" si="27"/>
        <v>73027607</v>
      </c>
      <c r="I46" s="186">
        <f>MAYO!I46+MAYO!J46</f>
        <v>31323568</v>
      </c>
      <c r="J46" s="209">
        <v>18634211</v>
      </c>
      <c r="K46" s="187">
        <f t="shared" si="28"/>
        <v>0.68409442746768356</v>
      </c>
      <c r="L46" s="188">
        <f t="shared" ref="L46:L60" si="32">J46+I46</f>
        <v>49957779</v>
      </c>
      <c r="M46" s="321">
        <f t="shared" ref="M46:M62" si="33">I46+J46</f>
        <v>49957779</v>
      </c>
      <c r="N46" s="189">
        <f t="shared" si="29"/>
        <v>23069828</v>
      </c>
      <c r="O46" s="198">
        <f t="shared" si="26"/>
        <v>0.31590557253231644</v>
      </c>
      <c r="P46" s="188">
        <f t="shared" si="30"/>
        <v>49957779</v>
      </c>
      <c r="Q46" s="432">
        <f t="shared" si="31"/>
        <v>0</v>
      </c>
      <c r="R46" s="432">
        <f>L46-M46</f>
        <v>0</v>
      </c>
    </row>
    <row r="47" spans="1:18" ht="15" x14ac:dyDescent="0.25">
      <c r="A47" s="496" t="s">
        <v>237</v>
      </c>
      <c r="B47" s="194" t="s">
        <v>46</v>
      </c>
      <c r="C47" s="159">
        <v>2000000</v>
      </c>
      <c r="D47" s="186"/>
      <c r="E47" s="457"/>
      <c r="F47" s="458"/>
      <c r="G47" s="459"/>
      <c r="H47" s="185">
        <f t="shared" si="27"/>
        <v>2000000</v>
      </c>
      <c r="I47" s="186">
        <f>MAYO!I47+MAYO!J47</f>
        <v>1090000</v>
      </c>
      <c r="J47" s="209">
        <v>300000</v>
      </c>
      <c r="K47" s="187">
        <f t="shared" si="28"/>
        <v>0.69499999999999995</v>
      </c>
      <c r="L47" s="188">
        <f t="shared" si="32"/>
        <v>1390000</v>
      </c>
      <c r="M47" s="321">
        <f t="shared" si="33"/>
        <v>1390000</v>
      </c>
      <c r="N47" s="189">
        <f t="shared" si="29"/>
        <v>610000</v>
      </c>
      <c r="O47" s="198">
        <f t="shared" si="26"/>
        <v>0.30499999999999999</v>
      </c>
      <c r="P47" s="188">
        <f t="shared" si="30"/>
        <v>1390000</v>
      </c>
      <c r="Q47" s="432">
        <f t="shared" si="31"/>
        <v>0</v>
      </c>
      <c r="R47" s="432">
        <f>L47-M47</f>
        <v>0</v>
      </c>
    </row>
    <row r="48" spans="1:18" ht="15" x14ac:dyDescent="0.25">
      <c r="A48" s="496" t="s">
        <v>238</v>
      </c>
      <c r="B48" s="194" t="s">
        <v>48</v>
      </c>
      <c r="C48" s="159">
        <f>750000*12</f>
        <v>9000000</v>
      </c>
      <c r="D48" s="186"/>
      <c r="E48" s="457"/>
      <c r="F48" s="458"/>
      <c r="G48" s="459"/>
      <c r="H48" s="185">
        <f t="shared" si="27"/>
        <v>9000000</v>
      </c>
      <c r="I48" s="186">
        <f>MAYO!I48+MAYO!J48</f>
        <v>4256400</v>
      </c>
      <c r="J48" s="209">
        <v>907600</v>
      </c>
      <c r="K48" s="187">
        <f t="shared" si="28"/>
        <v>0.57377777777777783</v>
      </c>
      <c r="L48" s="188">
        <f t="shared" si="32"/>
        <v>5164000</v>
      </c>
      <c r="M48" s="321">
        <f t="shared" si="33"/>
        <v>5164000</v>
      </c>
      <c r="N48" s="189">
        <f t="shared" si="29"/>
        <v>3836000</v>
      </c>
      <c r="O48" s="190">
        <f t="shared" si="26"/>
        <v>0.42622222222222222</v>
      </c>
      <c r="P48" s="188">
        <f t="shared" si="30"/>
        <v>5164000</v>
      </c>
      <c r="Q48" s="432">
        <f t="shared" si="31"/>
        <v>0</v>
      </c>
      <c r="R48" s="432">
        <f>L48-M48</f>
        <v>0</v>
      </c>
    </row>
    <row r="49" spans="1:18" ht="15" x14ac:dyDescent="0.25">
      <c r="A49" s="496" t="s">
        <v>239</v>
      </c>
      <c r="B49" s="194" t="s">
        <v>50</v>
      </c>
      <c r="C49" s="159">
        <v>4500000</v>
      </c>
      <c r="D49" s="186"/>
      <c r="E49" s="457"/>
      <c r="F49" s="458"/>
      <c r="G49" s="459"/>
      <c r="H49" s="185">
        <f t="shared" si="27"/>
        <v>4500000</v>
      </c>
      <c r="I49" s="186">
        <f>MAYO!I49+MAYO!J49</f>
        <v>1712831</v>
      </c>
      <c r="J49" s="209">
        <v>342238</v>
      </c>
      <c r="K49" s="187">
        <f t="shared" si="28"/>
        <v>0.45668199999999998</v>
      </c>
      <c r="L49" s="188">
        <f t="shared" si="32"/>
        <v>2055069</v>
      </c>
      <c r="M49" s="321">
        <f t="shared" si="33"/>
        <v>2055069</v>
      </c>
      <c r="N49" s="189">
        <f t="shared" si="29"/>
        <v>2444931</v>
      </c>
      <c r="O49" s="190">
        <f t="shared" si="26"/>
        <v>0.54331799999999997</v>
      </c>
      <c r="P49" s="188">
        <f t="shared" si="30"/>
        <v>2055069</v>
      </c>
      <c r="Q49" s="432">
        <f t="shared" si="31"/>
        <v>0</v>
      </c>
      <c r="R49" s="432">
        <f>L49-M49</f>
        <v>0</v>
      </c>
    </row>
    <row r="50" spans="1:18" ht="15.75" x14ac:dyDescent="0.25">
      <c r="A50" s="496" t="s">
        <v>240</v>
      </c>
      <c r="B50" s="194" t="s">
        <v>52</v>
      </c>
      <c r="C50" s="159">
        <v>2500000</v>
      </c>
      <c r="D50" s="186"/>
      <c r="E50" s="457"/>
      <c r="F50" s="458"/>
      <c r="G50" s="459"/>
      <c r="H50" s="185">
        <f t="shared" si="27"/>
        <v>2500000</v>
      </c>
      <c r="I50" s="186">
        <f>MAYO!I50+MAYO!J50</f>
        <v>801044</v>
      </c>
      <c r="J50" s="209">
        <v>116290</v>
      </c>
      <c r="K50" s="187">
        <f t="shared" si="28"/>
        <v>0.36693360000000003</v>
      </c>
      <c r="L50" s="188">
        <f t="shared" si="32"/>
        <v>917334</v>
      </c>
      <c r="M50" s="434">
        <f t="shared" si="33"/>
        <v>917334</v>
      </c>
      <c r="N50" s="189">
        <f t="shared" si="29"/>
        <v>1582666</v>
      </c>
      <c r="O50" s="190">
        <v>0</v>
      </c>
      <c r="P50" s="188">
        <f t="shared" si="30"/>
        <v>917334</v>
      </c>
      <c r="Q50" s="432">
        <f t="shared" si="31"/>
        <v>0</v>
      </c>
      <c r="R50" s="433">
        <f>SUM(R51:R60)</f>
        <v>0</v>
      </c>
    </row>
    <row r="51" spans="1:18" ht="15" x14ac:dyDescent="0.25">
      <c r="A51" s="496" t="s">
        <v>241</v>
      </c>
      <c r="B51" s="197" t="s">
        <v>54</v>
      </c>
      <c r="C51" s="159">
        <v>1500000</v>
      </c>
      <c r="D51" s="186"/>
      <c r="E51" s="457"/>
      <c r="F51" s="458"/>
      <c r="G51" s="459"/>
      <c r="H51" s="185">
        <f t="shared" si="27"/>
        <v>1500000</v>
      </c>
      <c r="I51" s="186">
        <f>MAYO!I51+MAYO!J51</f>
        <v>614200</v>
      </c>
      <c r="J51" s="209">
        <v>200000</v>
      </c>
      <c r="K51" s="187">
        <f t="shared" si="28"/>
        <v>0.54279999999999995</v>
      </c>
      <c r="L51" s="188">
        <f>J51+I51</f>
        <v>814200</v>
      </c>
      <c r="M51" s="321">
        <f>I51+J51</f>
        <v>814200</v>
      </c>
      <c r="N51" s="189">
        <f t="shared" si="29"/>
        <v>685800</v>
      </c>
      <c r="O51" s="190">
        <f>N51/H51</f>
        <v>0.4572</v>
      </c>
      <c r="P51" s="188">
        <f t="shared" si="30"/>
        <v>814200</v>
      </c>
      <c r="Q51" s="432">
        <f t="shared" si="31"/>
        <v>0</v>
      </c>
      <c r="R51" s="432">
        <f t="shared" ref="R51:R60" si="34">L51-M51</f>
        <v>0</v>
      </c>
    </row>
    <row r="52" spans="1:18" ht="15" x14ac:dyDescent="0.25">
      <c r="A52" s="181">
        <v>2021020208</v>
      </c>
      <c r="B52" s="194" t="s">
        <v>56</v>
      </c>
      <c r="C52" s="159">
        <v>0</v>
      </c>
      <c r="D52" s="186"/>
      <c r="E52" s="457"/>
      <c r="F52" s="458"/>
      <c r="G52" s="459"/>
      <c r="H52" s="185">
        <f t="shared" si="27"/>
        <v>0</v>
      </c>
      <c r="I52" s="186">
        <f>MAYO!I52+MAYO!J52</f>
        <v>0</v>
      </c>
      <c r="J52" s="209">
        <v>0</v>
      </c>
      <c r="K52" s="187">
        <v>0</v>
      </c>
      <c r="L52" s="188">
        <f t="shared" si="32"/>
        <v>0</v>
      </c>
      <c r="M52" s="321">
        <f t="shared" si="33"/>
        <v>0</v>
      </c>
      <c r="N52" s="189">
        <f t="shared" si="29"/>
        <v>0</v>
      </c>
      <c r="O52" s="190">
        <v>0</v>
      </c>
      <c r="P52" s="188">
        <f t="shared" si="30"/>
        <v>0</v>
      </c>
      <c r="Q52" s="432">
        <f t="shared" si="31"/>
        <v>0</v>
      </c>
      <c r="R52" s="432">
        <f t="shared" si="34"/>
        <v>0</v>
      </c>
    </row>
    <row r="53" spans="1:18" ht="15" x14ac:dyDescent="0.25">
      <c r="A53" s="496" t="s">
        <v>242</v>
      </c>
      <c r="B53" s="194" t="s">
        <v>58</v>
      </c>
      <c r="C53" s="159">
        <v>5000000</v>
      </c>
      <c r="D53" s="186"/>
      <c r="E53" s="457"/>
      <c r="F53" s="458"/>
      <c r="G53" s="459"/>
      <c r="H53" s="185">
        <f t="shared" si="27"/>
        <v>5000000</v>
      </c>
      <c r="I53" s="186">
        <f>MAYO!I53+MAYO!J53</f>
        <v>2364339</v>
      </c>
      <c r="J53" s="209">
        <v>0</v>
      </c>
      <c r="K53" s="187">
        <f>L53/H53</f>
        <v>0.4728678</v>
      </c>
      <c r="L53" s="188">
        <f t="shared" si="32"/>
        <v>2364339</v>
      </c>
      <c r="M53" s="321">
        <f t="shared" si="33"/>
        <v>2364339</v>
      </c>
      <c r="N53" s="189">
        <f t="shared" si="29"/>
        <v>2635661</v>
      </c>
      <c r="O53" s="190">
        <f>N53/H53</f>
        <v>0.52713220000000005</v>
      </c>
      <c r="P53" s="188">
        <f t="shared" si="30"/>
        <v>2364339</v>
      </c>
      <c r="Q53" s="432">
        <f t="shared" si="31"/>
        <v>0</v>
      </c>
      <c r="R53" s="432">
        <f t="shared" si="34"/>
        <v>0</v>
      </c>
    </row>
    <row r="54" spans="1:18" ht="15" x14ac:dyDescent="0.25">
      <c r="A54" s="496" t="s">
        <v>243</v>
      </c>
      <c r="B54" s="197" t="s">
        <v>60</v>
      </c>
      <c r="C54" s="159">
        <v>24000000</v>
      </c>
      <c r="D54" s="186"/>
      <c r="E54" s="457"/>
      <c r="F54" s="458"/>
      <c r="G54" s="459"/>
      <c r="H54" s="185">
        <f t="shared" si="27"/>
        <v>24000000</v>
      </c>
      <c r="I54" s="186">
        <f>MAYO!I54+MAYO!J54</f>
        <v>0</v>
      </c>
      <c r="J54" s="209">
        <v>0</v>
      </c>
      <c r="K54" s="187">
        <f>L54/H54</f>
        <v>0</v>
      </c>
      <c r="L54" s="188">
        <f t="shared" si="32"/>
        <v>0</v>
      </c>
      <c r="M54" s="321">
        <f t="shared" si="33"/>
        <v>0</v>
      </c>
      <c r="N54" s="189">
        <f t="shared" si="29"/>
        <v>24000000</v>
      </c>
      <c r="O54" s="190">
        <f>N54/H54</f>
        <v>1</v>
      </c>
      <c r="P54" s="188">
        <f t="shared" si="30"/>
        <v>0</v>
      </c>
      <c r="Q54" s="432">
        <f t="shared" si="31"/>
        <v>0</v>
      </c>
      <c r="R54" s="432">
        <f t="shared" si="34"/>
        <v>0</v>
      </c>
    </row>
    <row r="55" spans="1:18" ht="15" x14ac:dyDescent="0.25">
      <c r="A55" s="496" t="s">
        <v>244</v>
      </c>
      <c r="B55" s="194" t="s">
        <v>62</v>
      </c>
      <c r="C55" s="159">
        <v>4000000</v>
      </c>
      <c r="D55" s="186"/>
      <c r="E55" s="457"/>
      <c r="F55" s="458">
        <v>10000000</v>
      </c>
      <c r="G55" s="459"/>
      <c r="H55" s="185">
        <f t="shared" si="27"/>
        <v>14000000</v>
      </c>
      <c r="I55" s="186">
        <f>MAYO!I55+MAYO!J55</f>
        <v>1785000</v>
      </c>
      <c r="J55" s="209">
        <v>5355000</v>
      </c>
      <c r="K55" s="187">
        <v>0</v>
      </c>
      <c r="L55" s="188">
        <f t="shared" si="32"/>
        <v>7140000</v>
      </c>
      <c r="M55" s="321">
        <f t="shared" si="33"/>
        <v>7140000</v>
      </c>
      <c r="N55" s="189">
        <f t="shared" si="29"/>
        <v>6860000</v>
      </c>
      <c r="O55" s="190">
        <v>0</v>
      </c>
      <c r="P55" s="188">
        <f t="shared" si="30"/>
        <v>7140000</v>
      </c>
      <c r="Q55" s="432">
        <f t="shared" si="31"/>
        <v>0</v>
      </c>
      <c r="R55" s="432">
        <f t="shared" si="34"/>
        <v>0</v>
      </c>
    </row>
    <row r="56" spans="1:18" ht="15" x14ac:dyDescent="0.25">
      <c r="A56" s="496" t="s">
        <v>245</v>
      </c>
      <c r="B56" s="194" t="s">
        <v>64</v>
      </c>
      <c r="C56" s="159">
        <v>22000000</v>
      </c>
      <c r="D56" s="186"/>
      <c r="E56" s="457"/>
      <c r="F56" s="458"/>
      <c r="G56" s="459"/>
      <c r="H56" s="185">
        <f t="shared" si="27"/>
        <v>22000000</v>
      </c>
      <c r="I56" s="186">
        <f>MAYO!I56+MAYO!J56</f>
        <v>0</v>
      </c>
      <c r="J56" s="209">
        <v>0</v>
      </c>
      <c r="K56" s="187">
        <v>0</v>
      </c>
      <c r="L56" s="188">
        <f t="shared" si="32"/>
        <v>0</v>
      </c>
      <c r="M56" s="321">
        <f t="shared" si="33"/>
        <v>0</v>
      </c>
      <c r="N56" s="189">
        <f t="shared" si="29"/>
        <v>22000000</v>
      </c>
      <c r="O56" s="190">
        <v>0</v>
      </c>
      <c r="P56" s="188">
        <f t="shared" si="30"/>
        <v>0</v>
      </c>
      <c r="Q56" s="432">
        <f t="shared" si="31"/>
        <v>0</v>
      </c>
      <c r="R56" s="432">
        <f t="shared" si="34"/>
        <v>0</v>
      </c>
    </row>
    <row r="57" spans="1:18" ht="15" x14ac:dyDescent="0.25">
      <c r="A57" s="181">
        <v>2021020213</v>
      </c>
      <c r="B57" s="194" t="s">
        <v>65</v>
      </c>
      <c r="C57" s="159">
        <v>0</v>
      </c>
      <c r="D57" s="186"/>
      <c r="E57" s="457"/>
      <c r="F57" s="458"/>
      <c r="G57" s="459"/>
      <c r="H57" s="185">
        <f t="shared" si="27"/>
        <v>0</v>
      </c>
      <c r="I57" s="186">
        <f>MAYO!I57+MAYO!J57</f>
        <v>0</v>
      </c>
      <c r="J57" s="209">
        <v>0</v>
      </c>
      <c r="K57" s="187">
        <v>0</v>
      </c>
      <c r="L57" s="188">
        <f t="shared" si="32"/>
        <v>0</v>
      </c>
      <c r="M57" s="321">
        <f t="shared" si="33"/>
        <v>0</v>
      </c>
      <c r="N57" s="189">
        <f t="shared" si="29"/>
        <v>0</v>
      </c>
      <c r="O57" s="190">
        <v>0</v>
      </c>
      <c r="P57" s="188">
        <f t="shared" si="30"/>
        <v>0</v>
      </c>
      <c r="Q57" s="432">
        <f t="shared" si="31"/>
        <v>0</v>
      </c>
      <c r="R57" s="432">
        <f t="shared" si="34"/>
        <v>0</v>
      </c>
    </row>
    <row r="58" spans="1:18" ht="15" x14ac:dyDescent="0.25">
      <c r="A58" s="181">
        <v>2021020214</v>
      </c>
      <c r="B58" s="194" t="s">
        <v>67</v>
      </c>
      <c r="C58" s="159">
        <v>0</v>
      </c>
      <c r="D58" s="186"/>
      <c r="E58" s="457"/>
      <c r="F58" s="458"/>
      <c r="G58" s="459"/>
      <c r="H58" s="185">
        <f t="shared" si="27"/>
        <v>0</v>
      </c>
      <c r="I58" s="186">
        <f>MAYO!I58+MAYO!J58</f>
        <v>0</v>
      </c>
      <c r="J58" s="209">
        <v>0</v>
      </c>
      <c r="K58" s="187">
        <v>0</v>
      </c>
      <c r="L58" s="188">
        <f t="shared" si="32"/>
        <v>0</v>
      </c>
      <c r="M58" s="321">
        <f t="shared" si="33"/>
        <v>0</v>
      </c>
      <c r="N58" s="189">
        <f t="shared" si="29"/>
        <v>0</v>
      </c>
      <c r="O58" s="190">
        <v>0</v>
      </c>
      <c r="P58" s="188">
        <f t="shared" si="30"/>
        <v>0</v>
      </c>
      <c r="Q58" s="432">
        <f t="shared" si="31"/>
        <v>0</v>
      </c>
      <c r="R58" s="432">
        <f t="shared" si="34"/>
        <v>0</v>
      </c>
    </row>
    <row r="59" spans="1:18" ht="15" x14ac:dyDescent="0.25">
      <c r="A59" s="496" t="s">
        <v>246</v>
      </c>
      <c r="B59" s="194" t="s">
        <v>97</v>
      </c>
      <c r="C59" s="159">
        <v>1300000</v>
      </c>
      <c r="D59" s="186"/>
      <c r="E59" s="457"/>
      <c r="F59" s="458"/>
      <c r="G59" s="459"/>
      <c r="H59" s="185">
        <f t="shared" si="27"/>
        <v>1300000</v>
      </c>
      <c r="I59" s="186">
        <f>MAYO!I59+MAYO!J59</f>
        <v>0</v>
      </c>
      <c r="J59" s="209">
        <v>0</v>
      </c>
      <c r="K59" s="187">
        <f>L59/H59</f>
        <v>0</v>
      </c>
      <c r="L59" s="188">
        <f t="shared" si="32"/>
        <v>0</v>
      </c>
      <c r="M59" s="321">
        <f t="shared" si="33"/>
        <v>0</v>
      </c>
      <c r="N59" s="189">
        <f t="shared" si="29"/>
        <v>1300000</v>
      </c>
      <c r="O59" s="190">
        <f>N59/H59</f>
        <v>1</v>
      </c>
      <c r="P59" s="188">
        <f t="shared" si="30"/>
        <v>0</v>
      </c>
      <c r="Q59" s="432">
        <f t="shared" si="31"/>
        <v>0</v>
      </c>
      <c r="R59" s="432">
        <f t="shared" si="34"/>
        <v>0</v>
      </c>
    </row>
    <row r="60" spans="1:18" ht="15" x14ac:dyDescent="0.25">
      <c r="A60" s="199">
        <v>2021020216</v>
      </c>
      <c r="B60" s="194" t="s">
        <v>148</v>
      </c>
      <c r="C60" s="159">
        <v>0</v>
      </c>
      <c r="D60" s="186"/>
      <c r="E60" s="457"/>
      <c r="F60" s="458"/>
      <c r="G60" s="459"/>
      <c r="H60" s="185">
        <f t="shared" si="27"/>
        <v>0</v>
      </c>
      <c r="I60" s="186">
        <f>MAYO!I60+MAYO!J60</f>
        <v>0</v>
      </c>
      <c r="J60" s="209">
        <v>0</v>
      </c>
      <c r="K60" s="187">
        <v>0</v>
      </c>
      <c r="L60" s="188">
        <f t="shared" si="32"/>
        <v>0</v>
      </c>
      <c r="M60" s="321">
        <f t="shared" si="33"/>
        <v>0</v>
      </c>
      <c r="N60" s="189">
        <f t="shared" si="29"/>
        <v>0</v>
      </c>
      <c r="O60" s="190">
        <v>0</v>
      </c>
      <c r="P60" s="188">
        <f t="shared" si="30"/>
        <v>0</v>
      </c>
      <c r="Q60" s="432">
        <f t="shared" si="31"/>
        <v>0</v>
      </c>
      <c r="R60" s="432">
        <f t="shared" si="34"/>
        <v>0</v>
      </c>
    </row>
    <row r="61" spans="1:18" ht="27" customHeight="1" x14ac:dyDescent="0.2">
      <c r="A61" s="497">
        <v>20210301</v>
      </c>
      <c r="B61" s="195" t="s">
        <v>95</v>
      </c>
      <c r="C61" s="201">
        <f>C62</f>
        <v>0</v>
      </c>
      <c r="D61" s="206">
        <f>D62</f>
        <v>0</v>
      </c>
      <c r="E61" s="206">
        <f>E62</f>
        <v>0</v>
      </c>
      <c r="F61" s="206">
        <f>F62</f>
        <v>0</v>
      </c>
      <c r="G61" s="206">
        <f>G62</f>
        <v>0</v>
      </c>
      <c r="H61" s="176">
        <f>SUM(H62:H62)</f>
        <v>0</v>
      </c>
      <c r="I61" s="176">
        <f>SUM(I62:I62)</f>
        <v>0</v>
      </c>
      <c r="J61" s="176">
        <f>SUM(J62:J62)</f>
        <v>0</v>
      </c>
      <c r="K61" s="177">
        <f>K62</f>
        <v>1</v>
      </c>
      <c r="L61" s="178">
        <f>L62</f>
        <v>0</v>
      </c>
      <c r="M61" s="191">
        <f t="shared" si="33"/>
        <v>0</v>
      </c>
      <c r="N61" s="191">
        <f>SUM(N62:N62)</f>
        <v>0</v>
      </c>
      <c r="O61" s="179">
        <v>0</v>
      </c>
      <c r="P61" s="176">
        <f>SUM(P62:P62)</f>
        <v>0</v>
      </c>
      <c r="Q61" s="176">
        <f>SUM(Q62:Q62)</f>
        <v>0</v>
      </c>
      <c r="R61" s="176">
        <f>SUM(R62:R62)</f>
        <v>0</v>
      </c>
    </row>
    <row r="62" spans="1:18" ht="15" x14ac:dyDescent="0.25">
      <c r="A62" s="207">
        <v>2021030101</v>
      </c>
      <c r="B62" s="208" t="s">
        <v>96</v>
      </c>
      <c r="C62" s="183"/>
      <c r="D62" s="209">
        <v>0</v>
      </c>
      <c r="E62" s="457"/>
      <c r="F62" s="458"/>
      <c r="G62" s="459"/>
      <c r="H62" s="185">
        <f>C62-D62+E62+F62-G62</f>
        <v>0</v>
      </c>
      <c r="I62" s="186">
        <f>MAYO!I62+MAYO!J62</f>
        <v>0</v>
      </c>
      <c r="J62" s="209">
        <v>0</v>
      </c>
      <c r="K62" s="187">
        <v>1</v>
      </c>
      <c r="L62" s="188">
        <f>J62+I62</f>
        <v>0</v>
      </c>
      <c r="M62" s="321">
        <f t="shared" si="33"/>
        <v>0</v>
      </c>
      <c r="N62" s="189">
        <f>H62-L62</f>
        <v>0</v>
      </c>
      <c r="O62" s="190">
        <v>0</v>
      </c>
      <c r="P62" s="188">
        <f>L62</f>
        <v>0</v>
      </c>
      <c r="Q62" s="432">
        <f>M62-P62</f>
        <v>0</v>
      </c>
      <c r="R62" s="188"/>
    </row>
    <row r="63" spans="1:18" s="216" customFormat="1" ht="31.5" customHeight="1" x14ac:dyDescent="0.2">
      <c r="A63" s="210"/>
      <c r="B63" s="211" t="s">
        <v>165</v>
      </c>
      <c r="C63" s="212">
        <f>C27+C22+C44+C18+C39+C8+C61</f>
        <v>1168442348</v>
      </c>
      <c r="D63" s="213">
        <f>D9+D27</f>
        <v>0</v>
      </c>
      <c r="E63" s="213">
        <f>E8+E18+E39+E44+E22+E27+E61</f>
        <v>185847307</v>
      </c>
      <c r="F63" s="213">
        <f>F8+F18+F39+F44++F22+F27+F61</f>
        <v>66300000</v>
      </c>
      <c r="G63" s="213">
        <f>G8+G18+G39+G44+G22+G27+G61</f>
        <v>66300000</v>
      </c>
      <c r="H63" s="213">
        <f>H8+H18+H39+H44+H22+H27+H61</f>
        <v>1354289655</v>
      </c>
      <c r="I63" s="213">
        <f>I8+I18+I39+I44+I22+I27+I61</f>
        <v>450842394.86666667</v>
      </c>
      <c r="J63" s="213">
        <f>J8+J18+J39+J44+J22+J27+J61</f>
        <v>106497825</v>
      </c>
      <c r="K63" s="214">
        <f>L63/H63</f>
        <v>0.41153693953799469</v>
      </c>
      <c r="L63" s="213">
        <f>L8+L18+L39+L44+L22+L27+L61</f>
        <v>557340219.86666667</v>
      </c>
      <c r="M63" s="213">
        <f>M8+M18+M39+M44+M22+M27+M61</f>
        <v>557340219.86666667</v>
      </c>
      <c r="N63" s="213">
        <f>N8+N18+N39+N44+N22+N27+N61</f>
        <v>796949435.13333333</v>
      </c>
      <c r="O63" s="215">
        <f>N63/H63</f>
        <v>0.58846306046200536</v>
      </c>
      <c r="P63" s="213">
        <f>P8+P18+P39+P44+P22+P27+P61</f>
        <v>519640219.86666667</v>
      </c>
      <c r="Q63" s="213">
        <f>Q8+Q18+Q39+Q44+Q22+Q27+Q61</f>
        <v>37700000</v>
      </c>
      <c r="R63" s="213">
        <f>R9+R18+R22+R27+R45+R50+R61</f>
        <v>0</v>
      </c>
    </row>
    <row r="64" spans="1:18" ht="35.25" customHeight="1" x14ac:dyDescent="0.25">
      <c r="A64" s="431" t="s">
        <v>166</v>
      </c>
      <c r="B64" s="682" t="s">
        <v>271</v>
      </c>
      <c r="C64" s="683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4"/>
      <c r="P64" s="217"/>
      <c r="Q64" s="217"/>
      <c r="R64" s="217"/>
    </row>
    <row r="66" spans="4:14" x14ac:dyDescent="0.2">
      <c r="D66" s="218"/>
      <c r="E66" s="218"/>
      <c r="F66" s="218"/>
      <c r="G66" s="218"/>
      <c r="N66" s="218"/>
    </row>
    <row r="67" spans="4:14" x14ac:dyDescent="0.2">
      <c r="G67" s="218"/>
      <c r="I67" s="218"/>
      <c r="J67" s="221"/>
      <c r="N67" s="218"/>
    </row>
    <row r="68" spans="4:14" x14ac:dyDescent="0.2">
      <c r="D68" s="218"/>
      <c r="J68" s="218"/>
      <c r="K68" s="218"/>
      <c r="N68" s="218"/>
    </row>
    <row r="69" spans="4:14" x14ac:dyDescent="0.2">
      <c r="H69" s="218"/>
      <c r="J69" s="218"/>
      <c r="K69" s="609">
        <v>622524</v>
      </c>
      <c r="N69" s="218"/>
    </row>
    <row r="70" spans="4:14" x14ac:dyDescent="0.2">
      <c r="H70" s="218"/>
      <c r="J70" s="218"/>
      <c r="K70" s="609">
        <v>465670</v>
      </c>
    </row>
  </sheetData>
  <mergeCells count="5">
    <mergeCell ref="A1:O1"/>
    <mergeCell ref="A2:O2"/>
    <mergeCell ref="A3:O3"/>
    <mergeCell ref="K5:K6"/>
    <mergeCell ref="B64:O64"/>
  </mergeCells>
  <printOptions horizontalCentered="1" verticalCentered="1"/>
  <pageMargins left="0.23622047244094491" right="0.23622047244094491" top="0.39370078740157483" bottom="0.39370078740157483" header="0" footer="0"/>
  <pageSetup paperSize="5" scale="4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CBDD-5BCC-4B58-AFC1-AAFA6F2C8113}">
  <sheetPr>
    <tabColor rgb="FF0070C0"/>
  </sheetPr>
  <dimension ref="A1:R70"/>
  <sheetViews>
    <sheetView showGridLines="0" tabSelected="1" view="pageBreakPreview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G9" sqref="G9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331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I8" si="0">SUM(C9:C17)</f>
        <v>699585000</v>
      </c>
      <c r="D8" s="176">
        <f t="shared" si="0"/>
        <v>0</v>
      </c>
      <c r="E8" s="176">
        <f t="shared" si="0"/>
        <v>155847307</v>
      </c>
      <c r="F8" s="176">
        <f t="shared" si="0"/>
        <v>0</v>
      </c>
      <c r="G8" s="176">
        <f t="shared" si="0"/>
        <v>86591100</v>
      </c>
      <c r="H8" s="176">
        <f t="shared" si="0"/>
        <v>768841207</v>
      </c>
      <c r="I8" s="176">
        <f t="shared" si="0"/>
        <v>272102256.86666667</v>
      </c>
      <c r="J8" s="176">
        <f>SUM(J9:J17)</f>
        <v>68161308</v>
      </c>
      <c r="K8" s="177">
        <f>L8/H8</f>
        <v>0.44256676381117366</v>
      </c>
      <c r="L8" s="178">
        <f>SUM(L9:L17)</f>
        <v>340263564.86666667</v>
      </c>
      <c r="M8" s="178">
        <f>SUM(M9:M17)</f>
        <v>340263564.86666667</v>
      </c>
      <c r="N8" s="176">
        <f>SUM(N9:N17)</f>
        <v>428577642.13333333</v>
      </c>
      <c r="O8" s="179">
        <f t="shared" ref="O8:O19" si="1">N8/H8</f>
        <v>0.55743323618882634</v>
      </c>
      <c r="P8" s="176">
        <f>SUM(P9:P17)</f>
        <v>340263564.86666667</v>
      </c>
      <c r="Q8" s="176">
        <f>SUM(Q9:Q17)</f>
        <v>0</v>
      </c>
      <c r="R8" s="176">
        <f>SUM(R9:R17)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>
        <f>3000000+10000000+53300000+20291100</f>
        <v>86591100</v>
      </c>
      <c r="H9" s="185">
        <f>C9-D9+E9+F9-G9</f>
        <v>449408900</v>
      </c>
      <c r="I9" s="186">
        <f>JUNIO!I9+JUNIO!J9</f>
        <v>158047871</v>
      </c>
      <c r="J9" s="619">
        <v>0</v>
      </c>
      <c r="K9" s="187">
        <f>L9/H9</f>
        <v>0.35167944159539344</v>
      </c>
      <c r="L9" s="188">
        <f t="shared" ref="L9:L17" si="2">J9+I9</f>
        <v>158047871</v>
      </c>
      <c r="M9" s="321">
        <f>I9+J9</f>
        <v>158047871</v>
      </c>
      <c r="N9" s="189">
        <f>H9-L9</f>
        <v>291361029</v>
      </c>
      <c r="O9" s="190">
        <f t="shared" si="1"/>
        <v>0.64832055840460656</v>
      </c>
      <c r="P9" s="432">
        <f>M9</f>
        <v>158047871</v>
      </c>
      <c r="Q9" s="432">
        <f t="shared" ref="Q9:Q17" si="3">M9-P9</f>
        <v>0</v>
      </c>
      <c r="R9" s="432">
        <f t="shared" ref="R9:R17" si="4">L9-M9</f>
        <v>0</v>
      </c>
    </row>
    <row r="10" spans="1:18" ht="15" x14ac:dyDescent="0.25">
      <c r="A10" s="496">
        <v>2021010101</v>
      </c>
      <c r="B10" s="182" t="s">
        <v>306</v>
      </c>
      <c r="C10" s="159"/>
      <c r="D10" s="184"/>
      <c r="E10" s="457">
        <v>155847307</v>
      </c>
      <c r="F10" s="458"/>
      <c r="G10" s="459"/>
      <c r="H10" s="185">
        <f>C10-D10+E10+F10-G10</f>
        <v>155847307</v>
      </c>
      <c r="I10" s="186">
        <f>JUNIO!I10+JUNIO!J10</f>
        <v>94544653</v>
      </c>
      <c r="J10" s="619">
        <v>46358895</v>
      </c>
      <c r="K10" s="187">
        <f>L10/H10</f>
        <v>0.90411281858081771</v>
      </c>
      <c r="L10" s="188">
        <f t="shared" si="2"/>
        <v>140903548</v>
      </c>
      <c r="M10" s="321">
        <f>I10+J10</f>
        <v>140903548</v>
      </c>
      <c r="N10" s="189">
        <f>H10-L10</f>
        <v>14943759</v>
      </c>
      <c r="O10" s="190">
        <f t="shared" si="1"/>
        <v>9.5887181419182302E-2</v>
      </c>
      <c r="P10" s="432">
        <f>M10</f>
        <v>140903548</v>
      </c>
      <c r="Q10" s="432"/>
      <c r="R10" s="432"/>
    </row>
    <row r="11" spans="1:18" ht="15" x14ac:dyDescent="0.25">
      <c r="A11" s="496" t="s">
        <v>210</v>
      </c>
      <c r="B11" s="182" t="s">
        <v>11</v>
      </c>
      <c r="C11" s="159">
        <v>1320000</v>
      </c>
      <c r="D11" s="184"/>
      <c r="E11" s="457"/>
      <c r="F11" s="458"/>
      <c r="G11" s="459"/>
      <c r="H11" s="185">
        <f t="shared" ref="H11:H17" si="5">C11-D11+E11+F11-G11</f>
        <v>1320000</v>
      </c>
      <c r="I11" s="186">
        <f>JUNIO!I11+JUNIO!J11</f>
        <v>599690.8666666667</v>
      </c>
      <c r="J11" s="619">
        <v>106454</v>
      </c>
      <c r="K11" s="187">
        <f t="shared" ref="K11:K17" si="6">L11/H11</f>
        <v>0.53495823232323236</v>
      </c>
      <c r="L11" s="188">
        <f t="shared" si="2"/>
        <v>706144.8666666667</v>
      </c>
      <c r="M11" s="321">
        <f>I11+J11</f>
        <v>706144.8666666667</v>
      </c>
      <c r="N11" s="189">
        <f t="shared" ref="N11:N17" si="7">H11-L11</f>
        <v>613855.1333333333</v>
      </c>
      <c r="O11" s="190">
        <f t="shared" si="1"/>
        <v>0.46504176767676764</v>
      </c>
      <c r="P11" s="432">
        <f t="shared" ref="P11:P16" si="8">L11</f>
        <v>706144.8666666667</v>
      </c>
      <c r="Q11" s="432">
        <f t="shared" si="3"/>
        <v>0</v>
      </c>
      <c r="R11" s="432">
        <f t="shared" si="4"/>
        <v>0</v>
      </c>
    </row>
    <row r="12" spans="1:18" ht="15.75" customHeight="1" x14ac:dyDescent="0.25">
      <c r="A12" s="496" t="s">
        <v>211</v>
      </c>
      <c r="B12" s="182" t="s">
        <v>13</v>
      </c>
      <c r="C12" s="159">
        <v>848000</v>
      </c>
      <c r="D12" s="184"/>
      <c r="E12" s="457"/>
      <c r="F12" s="458"/>
      <c r="G12" s="459"/>
      <c r="H12" s="185">
        <f t="shared" si="5"/>
        <v>848000</v>
      </c>
      <c r="I12" s="186">
        <f>JUNIO!I12+JUNIO!J12</f>
        <v>372352</v>
      </c>
      <c r="J12" s="619">
        <v>66098</v>
      </c>
      <c r="K12" s="187">
        <f t="shared" si="6"/>
        <v>0.51704009433962261</v>
      </c>
      <c r="L12" s="188">
        <f t="shared" si="2"/>
        <v>438450</v>
      </c>
      <c r="M12" s="321">
        <f t="shared" ref="M12:M17" si="9">I12+J12</f>
        <v>438450</v>
      </c>
      <c r="N12" s="189">
        <f t="shared" si="7"/>
        <v>409550</v>
      </c>
      <c r="O12" s="190">
        <f t="shared" si="1"/>
        <v>0.48295990566037733</v>
      </c>
      <c r="P12" s="432">
        <f t="shared" si="8"/>
        <v>438450</v>
      </c>
      <c r="Q12" s="432">
        <f t="shared" si="3"/>
        <v>0</v>
      </c>
      <c r="R12" s="432">
        <f t="shared" si="4"/>
        <v>0</v>
      </c>
    </row>
    <row r="13" spans="1:18" ht="15" x14ac:dyDescent="0.25">
      <c r="A13" s="496" t="s">
        <v>212</v>
      </c>
      <c r="B13" s="182" t="s">
        <v>15</v>
      </c>
      <c r="C13" s="159">
        <v>16300000</v>
      </c>
      <c r="D13" s="184"/>
      <c r="E13" s="457"/>
      <c r="F13" s="458"/>
      <c r="G13" s="459"/>
      <c r="H13" s="185">
        <f t="shared" si="5"/>
        <v>16300000</v>
      </c>
      <c r="I13" s="186">
        <f>JUNIO!I13+JUNIO!J13</f>
        <v>8342962</v>
      </c>
      <c r="J13" s="619">
        <v>0</v>
      </c>
      <c r="K13" s="187">
        <f t="shared" si="6"/>
        <v>0.51183815950920242</v>
      </c>
      <c r="L13" s="188">
        <f t="shared" si="2"/>
        <v>8342962</v>
      </c>
      <c r="M13" s="321">
        <f t="shared" si="9"/>
        <v>8342962</v>
      </c>
      <c r="N13" s="189">
        <f t="shared" si="7"/>
        <v>7957038</v>
      </c>
      <c r="O13" s="190">
        <f t="shared" si="1"/>
        <v>0.48816184049079753</v>
      </c>
      <c r="P13" s="432">
        <f t="shared" si="8"/>
        <v>8342962</v>
      </c>
      <c r="Q13" s="432">
        <f t="shared" si="3"/>
        <v>0</v>
      </c>
      <c r="R13" s="432">
        <f t="shared" si="4"/>
        <v>0</v>
      </c>
    </row>
    <row r="14" spans="1:18" ht="15" x14ac:dyDescent="0.25">
      <c r="A14" s="496" t="s">
        <v>213</v>
      </c>
      <c r="B14" s="182" t="s">
        <v>17</v>
      </c>
      <c r="C14" s="159">
        <v>24000000</v>
      </c>
      <c r="D14" s="184"/>
      <c r="E14" s="457"/>
      <c r="F14" s="458"/>
      <c r="G14" s="459"/>
      <c r="H14" s="185">
        <f t="shared" si="5"/>
        <v>24000000</v>
      </c>
      <c r="I14" s="186">
        <f>JUNIO!I14+JUNIO!J14</f>
        <v>1169522</v>
      </c>
      <c r="J14" s="619">
        <v>21629861</v>
      </c>
      <c r="K14" s="187">
        <f>L14/H14</f>
        <v>0.94997429166666669</v>
      </c>
      <c r="L14" s="188">
        <f t="shared" si="2"/>
        <v>22799383</v>
      </c>
      <c r="M14" s="321">
        <f t="shared" si="9"/>
        <v>22799383</v>
      </c>
      <c r="N14" s="189">
        <f t="shared" si="7"/>
        <v>1200617</v>
      </c>
      <c r="O14" s="190">
        <f t="shared" si="1"/>
        <v>5.0025708333333335E-2</v>
      </c>
      <c r="P14" s="432">
        <f t="shared" si="8"/>
        <v>22799383</v>
      </c>
      <c r="Q14" s="432">
        <f t="shared" si="3"/>
        <v>0</v>
      </c>
      <c r="R14" s="432">
        <f t="shared" si="4"/>
        <v>0</v>
      </c>
    </row>
    <row r="15" spans="1:18" ht="15" x14ac:dyDescent="0.25">
      <c r="A15" s="496" t="s">
        <v>214</v>
      </c>
      <c r="B15" s="182" t="s">
        <v>19</v>
      </c>
      <c r="C15" s="159">
        <v>24787000</v>
      </c>
      <c r="D15" s="184"/>
      <c r="E15" s="457"/>
      <c r="F15" s="458"/>
      <c r="G15" s="459"/>
      <c r="H15" s="185">
        <f t="shared" si="5"/>
        <v>24787000</v>
      </c>
      <c r="I15" s="186">
        <f>JUNIO!I15+JUNIO!J15</f>
        <v>3128809</v>
      </c>
      <c r="J15" s="619">
        <v>0</v>
      </c>
      <c r="K15" s="187">
        <f t="shared" si="6"/>
        <v>0.12622782103522007</v>
      </c>
      <c r="L15" s="188">
        <f t="shared" si="2"/>
        <v>3128809</v>
      </c>
      <c r="M15" s="321">
        <f t="shared" si="9"/>
        <v>3128809</v>
      </c>
      <c r="N15" s="189">
        <f t="shared" si="7"/>
        <v>21658191</v>
      </c>
      <c r="O15" s="190">
        <f t="shared" si="1"/>
        <v>0.87377217896477988</v>
      </c>
      <c r="P15" s="432">
        <f t="shared" si="8"/>
        <v>3128809</v>
      </c>
      <c r="Q15" s="432">
        <f t="shared" si="3"/>
        <v>0</v>
      </c>
      <c r="R15" s="432">
        <f t="shared" si="4"/>
        <v>0</v>
      </c>
    </row>
    <row r="16" spans="1:18" ht="15" x14ac:dyDescent="0.25">
      <c r="A16" s="496" t="s">
        <v>215</v>
      </c>
      <c r="B16" s="182" t="s">
        <v>292</v>
      </c>
      <c r="C16" s="159">
        <v>55000000</v>
      </c>
      <c r="D16" s="184"/>
      <c r="E16" s="457"/>
      <c r="F16" s="458"/>
      <c r="G16" s="459"/>
      <c r="H16" s="185">
        <f t="shared" si="5"/>
        <v>55000000</v>
      </c>
      <c r="I16" s="186">
        <f>JUNIO!I16+JUNIO!J16</f>
        <v>939517</v>
      </c>
      <c r="J16" s="619">
        <v>0</v>
      </c>
      <c r="K16" s="187">
        <f t="shared" si="6"/>
        <v>1.7082127272727274E-2</v>
      </c>
      <c r="L16" s="188">
        <f t="shared" si="2"/>
        <v>939517</v>
      </c>
      <c r="M16" s="321">
        <f t="shared" si="9"/>
        <v>939517</v>
      </c>
      <c r="N16" s="189">
        <f t="shared" si="7"/>
        <v>54060483</v>
      </c>
      <c r="O16" s="190">
        <f t="shared" si="1"/>
        <v>0.98291787272727271</v>
      </c>
      <c r="P16" s="432">
        <f t="shared" si="8"/>
        <v>939517</v>
      </c>
      <c r="Q16" s="432">
        <f t="shared" si="3"/>
        <v>0</v>
      </c>
      <c r="R16" s="432">
        <f t="shared" si="4"/>
        <v>0</v>
      </c>
    </row>
    <row r="17" spans="1:18" ht="15" x14ac:dyDescent="0.25">
      <c r="A17" s="496" t="s">
        <v>216</v>
      </c>
      <c r="B17" s="182" t="s">
        <v>20</v>
      </c>
      <c r="C17" s="159">
        <v>41330000</v>
      </c>
      <c r="D17" s="184"/>
      <c r="E17" s="457"/>
      <c r="F17" s="458"/>
      <c r="G17" s="459"/>
      <c r="H17" s="185">
        <f t="shared" si="5"/>
        <v>41330000</v>
      </c>
      <c r="I17" s="186">
        <f>JUNIO!I17+JUNIO!J17</f>
        <v>4956880</v>
      </c>
      <c r="J17" s="619">
        <v>0</v>
      </c>
      <c r="K17" s="187">
        <f t="shared" si="6"/>
        <v>0.11993418824098717</v>
      </c>
      <c r="L17" s="188">
        <f t="shared" si="2"/>
        <v>4956880</v>
      </c>
      <c r="M17" s="321">
        <f t="shared" si="9"/>
        <v>4956880</v>
      </c>
      <c r="N17" s="189">
        <f t="shared" si="7"/>
        <v>36373120</v>
      </c>
      <c r="O17" s="190">
        <f t="shared" si="1"/>
        <v>0.88006581175901277</v>
      </c>
      <c r="P17" s="432">
        <f>L17</f>
        <v>4956880</v>
      </c>
      <c r="Q17" s="432">
        <f t="shared" si="3"/>
        <v>0</v>
      </c>
      <c r="R17" s="432">
        <f t="shared" si="4"/>
        <v>0</v>
      </c>
    </row>
    <row r="18" spans="1:18" s="192" customFormat="1" ht="27.75" customHeight="1" x14ac:dyDescent="0.2">
      <c r="A18" s="497">
        <v>20210102</v>
      </c>
      <c r="B18" s="175" t="s">
        <v>130</v>
      </c>
      <c r="C18" s="176">
        <f t="shared" ref="C18:H18" si="10">SUM(C19:C21)</f>
        <v>77000000</v>
      </c>
      <c r="D18" s="176">
        <f t="shared" si="10"/>
        <v>0</v>
      </c>
      <c r="E18" s="176">
        <f t="shared" si="10"/>
        <v>0</v>
      </c>
      <c r="F18" s="176">
        <f t="shared" si="10"/>
        <v>53700000</v>
      </c>
      <c r="G18" s="176">
        <f t="shared" si="10"/>
        <v>0</v>
      </c>
      <c r="H18" s="176">
        <f t="shared" si="10"/>
        <v>130700000</v>
      </c>
      <c r="I18" s="176">
        <f>SUM(I19:I21)</f>
        <v>83400000</v>
      </c>
      <c r="J18" s="176">
        <f>SUM(J19:J21)</f>
        <v>17600000</v>
      </c>
      <c r="K18" s="177">
        <f>L18/H18</f>
        <v>0.77276205049732216</v>
      </c>
      <c r="L18" s="191">
        <f>SUM(L19:L21)</f>
        <v>101000000</v>
      </c>
      <c r="M18" s="191">
        <f>SUM(M19:M21)</f>
        <v>101000000</v>
      </c>
      <c r="N18" s="191">
        <f>SUM(N19:N21)</f>
        <v>29700000</v>
      </c>
      <c r="O18" s="179">
        <f t="shared" si="1"/>
        <v>0.22723794950267789</v>
      </c>
      <c r="P18" s="176">
        <f>SUM(P19:P21)</f>
        <v>67000000</v>
      </c>
      <c r="Q18" s="176">
        <f>SUM(Q19:Q21)</f>
        <v>34000000</v>
      </c>
      <c r="R18" s="176">
        <f>SUM(R19:R21)</f>
        <v>0</v>
      </c>
    </row>
    <row r="19" spans="1:18" ht="15" x14ac:dyDescent="0.25">
      <c r="A19" s="496" t="s">
        <v>217</v>
      </c>
      <c r="B19" s="193" t="s">
        <v>25</v>
      </c>
      <c r="C19" s="159">
        <v>60000000</v>
      </c>
      <c r="D19" s="186"/>
      <c r="E19" s="457"/>
      <c r="F19" s="458">
        <f>20000000+11500000</f>
        <v>31500000</v>
      </c>
      <c r="G19" s="459"/>
      <c r="H19" s="185">
        <f>C19-D19+E19+F19-G19</f>
        <v>91500000</v>
      </c>
      <c r="I19" s="186">
        <f>JUNIO!I19+JUNIO!J19</f>
        <v>62200000</v>
      </c>
      <c r="J19" s="619">
        <v>5000000</v>
      </c>
      <c r="K19" s="187">
        <f>L19/H19</f>
        <v>0.73442622950819669</v>
      </c>
      <c r="L19" s="188">
        <f>J19+I19</f>
        <v>67200000</v>
      </c>
      <c r="M19" s="321">
        <f>I19+J19</f>
        <v>67200000</v>
      </c>
      <c r="N19" s="189">
        <f>H19-L19</f>
        <v>24300000</v>
      </c>
      <c r="O19" s="190">
        <f t="shared" si="1"/>
        <v>0.26557377049180325</v>
      </c>
      <c r="P19" s="615">
        <f>4200000+4200000+4200000+2000000+13500000+4200000+13500000</f>
        <v>45800000</v>
      </c>
      <c r="Q19" s="432">
        <f>M19-P19</f>
        <v>21400000</v>
      </c>
      <c r="R19" s="432">
        <f>L19-M19</f>
        <v>0</v>
      </c>
    </row>
    <row r="20" spans="1:18" ht="15" x14ac:dyDescent="0.25">
      <c r="A20" s="496" t="s">
        <v>218</v>
      </c>
      <c r="B20" s="182" t="s">
        <v>27</v>
      </c>
      <c r="C20" s="159">
        <v>17000000</v>
      </c>
      <c r="D20" s="186"/>
      <c r="E20" s="457"/>
      <c r="F20" s="458">
        <f>20000000+2200000</f>
        <v>22200000</v>
      </c>
      <c r="G20" s="459"/>
      <c r="H20" s="185">
        <f>C20-D20+E20+F20-G20</f>
        <v>39200000</v>
      </c>
      <c r="I20" s="186">
        <f>JUNIO!I20+JUNIO!J20</f>
        <v>21200000</v>
      </c>
      <c r="J20" s="619">
        <v>12600000</v>
      </c>
      <c r="K20" s="187">
        <f>L20/H20</f>
        <v>0.86224489795918369</v>
      </c>
      <c r="L20" s="188">
        <f>J20+I20</f>
        <v>33800000</v>
      </c>
      <c r="M20" s="321">
        <f>I20+J20</f>
        <v>33800000</v>
      </c>
      <c r="N20" s="189">
        <f>H20-L20</f>
        <v>5400000</v>
      </c>
      <c r="O20" s="190">
        <v>0</v>
      </c>
      <c r="P20" s="615">
        <f>1800000+1800000+14000000+1800000+1800000</f>
        <v>21200000</v>
      </c>
      <c r="Q20" s="432">
        <f>M20-P20</f>
        <v>12600000</v>
      </c>
      <c r="R20" s="432">
        <f>L20-M20</f>
        <v>0</v>
      </c>
    </row>
    <row r="21" spans="1:18" ht="15" x14ac:dyDescent="0.25">
      <c r="A21" s="181">
        <v>2021010203</v>
      </c>
      <c r="B21" s="194" t="s">
        <v>29</v>
      </c>
      <c r="C21" s="183">
        <f>'PAC INICIAL 2021'!C35</f>
        <v>0</v>
      </c>
      <c r="D21" s="186"/>
      <c r="E21" s="457"/>
      <c r="F21" s="458"/>
      <c r="G21" s="459"/>
      <c r="H21" s="185">
        <f>C21-D21+E21+F21-G21</f>
        <v>0</v>
      </c>
      <c r="I21" s="186">
        <f>JUNIO!I21+JUNIO!J21</f>
        <v>0</v>
      </c>
      <c r="J21" s="619">
        <v>0</v>
      </c>
      <c r="K21" s="187">
        <v>0</v>
      </c>
      <c r="L21" s="188">
        <f>J21+I21</f>
        <v>0</v>
      </c>
      <c r="M21" s="321">
        <f>I21+J21</f>
        <v>0</v>
      </c>
      <c r="N21" s="189">
        <f>H21-L21</f>
        <v>0</v>
      </c>
      <c r="O21" s="190">
        <v>0</v>
      </c>
      <c r="P21" s="615">
        <v>0</v>
      </c>
      <c r="Q21" s="432">
        <f>M21-P21</f>
        <v>0</v>
      </c>
      <c r="R21" s="432">
        <f>L21-M21</f>
        <v>0</v>
      </c>
    </row>
    <row r="22" spans="1:18" ht="30" x14ac:dyDescent="0.2">
      <c r="A22" s="497">
        <v>20210103</v>
      </c>
      <c r="B22" s="200" t="s">
        <v>69</v>
      </c>
      <c r="C22" s="201">
        <f t="shared" ref="C22:I22" si="11">SUM(C23:C26)</f>
        <v>73229741</v>
      </c>
      <c r="D22" s="201">
        <f t="shared" si="11"/>
        <v>0</v>
      </c>
      <c r="E22" s="201">
        <f t="shared" si="11"/>
        <v>0</v>
      </c>
      <c r="F22" s="201">
        <f t="shared" si="11"/>
        <v>0</v>
      </c>
      <c r="G22" s="201">
        <f t="shared" si="11"/>
        <v>0</v>
      </c>
      <c r="H22" s="201">
        <f t="shared" si="11"/>
        <v>73229741</v>
      </c>
      <c r="I22" s="201">
        <f t="shared" si="11"/>
        <v>29534488</v>
      </c>
      <c r="J22" s="201">
        <f>SUM(J23:J26)</f>
        <v>4669364</v>
      </c>
      <c r="K22" s="177">
        <f>L22/H22</f>
        <v>0.46707596576096044</v>
      </c>
      <c r="L22" s="438">
        <f>SUM(L23:L26)</f>
        <v>34203852</v>
      </c>
      <c r="M22" s="438">
        <f>SUM(M23:M26)</f>
        <v>34203852</v>
      </c>
      <c r="N22" s="438">
        <f>SUM(N23:N26)</f>
        <v>39025889</v>
      </c>
      <c r="O22" s="179">
        <f t="shared" ref="O22:O29" si="12">N22/H22</f>
        <v>0.53292403423903956</v>
      </c>
      <c r="P22" s="176">
        <f>SUM(P23:P26)</f>
        <v>34203852</v>
      </c>
      <c r="Q22" s="176">
        <f>SUM(Q23:Q26)</f>
        <v>0</v>
      </c>
      <c r="R22" s="176">
        <f>SUM(R23:R26)</f>
        <v>0</v>
      </c>
    </row>
    <row r="23" spans="1:18" ht="15" x14ac:dyDescent="0.25">
      <c r="A23" s="496" t="s">
        <v>220</v>
      </c>
      <c r="B23" s="194" t="s">
        <v>71</v>
      </c>
      <c r="C23" s="159">
        <v>6000083</v>
      </c>
      <c r="D23" s="184"/>
      <c r="E23" s="457"/>
      <c r="F23" s="458"/>
      <c r="G23" s="459"/>
      <c r="H23" s="185">
        <f>C23-D23+E23+F23-G23</f>
        <v>6000083</v>
      </c>
      <c r="I23" s="186">
        <f>JUNIO!I23+JUNIO!J23</f>
        <v>959897</v>
      </c>
      <c r="J23" s="619">
        <v>0</v>
      </c>
      <c r="K23" s="187">
        <f t="shared" ref="K23:K29" si="13">L23/H23</f>
        <v>0.15998062026808629</v>
      </c>
      <c r="L23" s="188">
        <f>J23+I23</f>
        <v>959897</v>
      </c>
      <c r="M23" s="321">
        <f>I23+J23</f>
        <v>959897</v>
      </c>
      <c r="N23" s="189">
        <f>H23-L23</f>
        <v>5040186</v>
      </c>
      <c r="O23" s="190">
        <f t="shared" si="12"/>
        <v>0.84001937973191376</v>
      </c>
      <c r="P23" s="432">
        <f>M23</f>
        <v>959897</v>
      </c>
      <c r="Q23" s="432">
        <f>M23-P23</f>
        <v>0</v>
      </c>
      <c r="R23" s="432">
        <f>L23-M23</f>
        <v>0</v>
      </c>
    </row>
    <row r="24" spans="1:18" ht="15" x14ac:dyDescent="0.25">
      <c r="A24" s="496" t="s">
        <v>219</v>
      </c>
      <c r="B24" s="194" t="s">
        <v>73</v>
      </c>
      <c r="C24" s="159">
        <v>46429658</v>
      </c>
      <c r="D24" s="184"/>
      <c r="E24" s="457"/>
      <c r="F24" s="458"/>
      <c r="G24" s="459"/>
      <c r="H24" s="185">
        <f>C24-D24+E24+F24-G24</f>
        <v>46429658</v>
      </c>
      <c r="I24" s="186">
        <f>JUNIO!I24+JUNIO!J24</f>
        <v>24180584</v>
      </c>
      <c r="J24" s="619">
        <v>3995980</v>
      </c>
      <c r="K24" s="187">
        <f t="shared" si="13"/>
        <v>0.60686563747680411</v>
      </c>
      <c r="L24" s="188">
        <f>J24+I24</f>
        <v>28176564</v>
      </c>
      <c r="M24" s="321">
        <f>I24+J24</f>
        <v>28176564</v>
      </c>
      <c r="N24" s="189">
        <f>H24-L24</f>
        <v>18253094</v>
      </c>
      <c r="O24" s="190">
        <f t="shared" si="12"/>
        <v>0.39313436252319583</v>
      </c>
      <c r="P24" s="432">
        <f>L24</f>
        <v>28176564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221</v>
      </c>
      <c r="B25" s="194" t="s">
        <v>74</v>
      </c>
      <c r="C25" s="159">
        <v>14000000</v>
      </c>
      <c r="D25" s="184"/>
      <c r="E25" s="457"/>
      <c r="F25" s="458"/>
      <c r="G25" s="459"/>
      <c r="H25" s="185">
        <f>C25-D25+E25+F25-G25</f>
        <v>14000000</v>
      </c>
      <c r="I25" s="186">
        <f>JUNIO!I25+JUNIO!J25</f>
        <v>4278819</v>
      </c>
      <c r="J25" s="619">
        <v>673384</v>
      </c>
      <c r="K25" s="187">
        <f t="shared" si="13"/>
        <v>0.35372878571428573</v>
      </c>
      <c r="L25" s="188">
        <f>J25+I25</f>
        <v>4952203</v>
      </c>
      <c r="M25" s="321">
        <f>I25+J25</f>
        <v>4952203</v>
      </c>
      <c r="N25" s="189">
        <f>H25-L25</f>
        <v>9047797</v>
      </c>
      <c r="O25" s="190">
        <f t="shared" si="12"/>
        <v>0.64627121428571432</v>
      </c>
      <c r="P25" s="432">
        <f>L25</f>
        <v>4952203</v>
      </c>
      <c r="Q25" s="432">
        <f>M25-P25</f>
        <v>0</v>
      </c>
      <c r="R25" s="432">
        <f>L25-M25</f>
        <v>0</v>
      </c>
    </row>
    <row r="26" spans="1:18" ht="15" x14ac:dyDescent="0.25">
      <c r="A26" s="496" t="s">
        <v>222</v>
      </c>
      <c r="B26" s="194" t="s">
        <v>75</v>
      </c>
      <c r="C26" s="159">
        <v>6800000</v>
      </c>
      <c r="D26" s="202"/>
      <c r="E26" s="457"/>
      <c r="F26" s="458"/>
      <c r="G26" s="459"/>
      <c r="H26" s="185">
        <f>C26-D26+E26+F26-G26</f>
        <v>6800000</v>
      </c>
      <c r="I26" s="186">
        <f>JUNIO!I26+JUNIO!J26</f>
        <v>115188</v>
      </c>
      <c r="J26" s="619">
        <v>0</v>
      </c>
      <c r="K26" s="187">
        <f t="shared" si="13"/>
        <v>1.6939411764705883E-2</v>
      </c>
      <c r="L26" s="188">
        <f>J26+I26</f>
        <v>115188</v>
      </c>
      <c r="M26" s="321">
        <f>I26+J26</f>
        <v>115188</v>
      </c>
      <c r="N26" s="189">
        <f>H26-L26</f>
        <v>6684812</v>
      </c>
      <c r="O26" s="190">
        <f t="shared" si="12"/>
        <v>0.98306058823529407</v>
      </c>
      <c r="P26" s="432">
        <f>L26</f>
        <v>115188</v>
      </c>
      <c r="Q26" s="432">
        <f>M26-P26</f>
        <v>0</v>
      </c>
      <c r="R26" s="432">
        <f>L26-M26</f>
        <v>0</v>
      </c>
    </row>
    <row r="27" spans="1:18" ht="35.25" customHeight="1" x14ac:dyDescent="0.2">
      <c r="A27" s="497">
        <v>20210104</v>
      </c>
      <c r="B27" s="200" t="s">
        <v>76</v>
      </c>
      <c r="C27" s="201">
        <f t="shared" ref="C27:I27" si="14">SUM(C28:C38)</f>
        <v>133100000</v>
      </c>
      <c r="D27" s="201">
        <f t="shared" si="14"/>
        <v>0</v>
      </c>
      <c r="E27" s="201">
        <f t="shared" si="14"/>
        <v>30000000</v>
      </c>
      <c r="F27" s="201">
        <f t="shared" si="14"/>
        <v>3000000</v>
      </c>
      <c r="G27" s="201">
        <f t="shared" si="14"/>
        <v>0</v>
      </c>
      <c r="H27" s="201">
        <f t="shared" si="14"/>
        <v>166100000</v>
      </c>
      <c r="I27" s="176">
        <f t="shared" si="14"/>
        <v>69813854</v>
      </c>
      <c r="J27" s="176">
        <f>SUM(J28:J38)</f>
        <v>9435937</v>
      </c>
      <c r="K27" s="177">
        <f t="shared" si="13"/>
        <v>0.47712095725466586</v>
      </c>
      <c r="L27" s="178">
        <f>SUM(L28:L38)</f>
        <v>79249791</v>
      </c>
      <c r="M27" s="191">
        <f>SUM(M28:M38)</f>
        <v>79249791</v>
      </c>
      <c r="N27" s="191">
        <f>SUM(N28:N38)</f>
        <v>86850209</v>
      </c>
      <c r="O27" s="179">
        <f t="shared" si="12"/>
        <v>0.52287904274533414</v>
      </c>
      <c r="P27" s="176">
        <f>SUM(P28:P38)</f>
        <v>79249791</v>
      </c>
      <c r="Q27" s="176">
        <f>SUM(Q28:Q38)</f>
        <v>0</v>
      </c>
      <c r="R27" s="176">
        <f>SUM(R28:R44)</f>
        <v>0</v>
      </c>
    </row>
    <row r="28" spans="1:18" ht="15" x14ac:dyDescent="0.25">
      <c r="A28" s="496" t="s">
        <v>223</v>
      </c>
      <c r="B28" s="194" t="s">
        <v>78</v>
      </c>
      <c r="C28" s="159">
        <v>12000000</v>
      </c>
      <c r="D28" s="184"/>
      <c r="E28" s="457"/>
      <c r="F28" s="458">
        <v>3000000</v>
      </c>
      <c r="G28" s="459"/>
      <c r="H28" s="185">
        <f t="shared" ref="H28:H38" si="15">C28-D28+E28+F28-G28</f>
        <v>15000000</v>
      </c>
      <c r="I28" s="186">
        <f>JUNIO!I28+JUNIO!J28</f>
        <v>12343990</v>
      </c>
      <c r="J28" s="619">
        <v>0</v>
      </c>
      <c r="K28" s="187">
        <f t="shared" si="13"/>
        <v>0.82293266666666665</v>
      </c>
      <c r="L28" s="188">
        <f t="shared" ref="L28:L38" si="16">J28+I28</f>
        <v>12343990</v>
      </c>
      <c r="M28" s="321">
        <f>I28+J28</f>
        <v>12343990</v>
      </c>
      <c r="N28" s="189">
        <f t="shared" ref="N28:N38" si="17">H28-L28</f>
        <v>2656010</v>
      </c>
      <c r="O28" s="190">
        <f t="shared" si="12"/>
        <v>0.17706733333333333</v>
      </c>
      <c r="P28" s="188">
        <f>L28-J28</f>
        <v>12343990</v>
      </c>
      <c r="Q28" s="432">
        <f t="shared" ref="Q28:Q38" si="18">M28-P28</f>
        <v>0</v>
      </c>
      <c r="R28" s="432">
        <f t="shared" ref="R28:R44" si="19">L28-M28</f>
        <v>0</v>
      </c>
    </row>
    <row r="29" spans="1:18" ht="15" x14ac:dyDescent="0.25">
      <c r="A29" s="496">
        <v>2021010401</v>
      </c>
      <c r="B29" s="194" t="s">
        <v>295</v>
      </c>
      <c r="C29" s="159"/>
      <c r="D29" s="184"/>
      <c r="E29" s="457">
        <v>30000000</v>
      </c>
      <c r="F29" s="458"/>
      <c r="G29" s="459"/>
      <c r="H29" s="185">
        <f t="shared" si="15"/>
        <v>30000000</v>
      </c>
      <c r="I29" s="186">
        <f>JUNIO!I29+JUNIO!J29</f>
        <v>0</v>
      </c>
      <c r="J29" s="619">
        <v>0</v>
      </c>
      <c r="K29" s="187">
        <f t="shared" si="13"/>
        <v>0</v>
      </c>
      <c r="L29" s="188">
        <f t="shared" si="16"/>
        <v>0</v>
      </c>
      <c r="M29" s="321">
        <f>I29+J29</f>
        <v>0</v>
      </c>
      <c r="N29" s="189">
        <f t="shared" si="17"/>
        <v>30000000</v>
      </c>
      <c r="O29" s="190">
        <f t="shared" si="12"/>
        <v>1</v>
      </c>
      <c r="P29" s="188">
        <f>L29-J29</f>
        <v>0</v>
      </c>
      <c r="Q29" s="432"/>
      <c r="R29" s="432"/>
    </row>
    <row r="30" spans="1:18" ht="15" x14ac:dyDescent="0.25">
      <c r="A30" s="181">
        <v>2021010402</v>
      </c>
      <c r="B30" s="194" t="s">
        <v>73</v>
      </c>
      <c r="C30" s="159">
        <v>0</v>
      </c>
      <c r="D30" s="184"/>
      <c r="E30" s="457"/>
      <c r="F30" s="458"/>
      <c r="G30" s="459"/>
      <c r="H30" s="185">
        <f t="shared" si="15"/>
        <v>0</v>
      </c>
      <c r="I30" s="186">
        <f>JUNIO!I30+JUNIO!J30</f>
        <v>0</v>
      </c>
      <c r="J30" s="619">
        <v>0</v>
      </c>
      <c r="K30" s="187">
        <v>0</v>
      </c>
      <c r="L30" s="196">
        <f t="shared" si="16"/>
        <v>0</v>
      </c>
      <c r="M30" s="321">
        <f t="shared" ref="M30:M38" si="20">I30+J30</f>
        <v>0</v>
      </c>
      <c r="N30" s="189">
        <f t="shared" si="17"/>
        <v>0</v>
      </c>
      <c r="O30" s="190">
        <v>0</v>
      </c>
      <c r="P30" s="188">
        <f t="shared" ref="P30:P38" si="21">L30</f>
        <v>0</v>
      </c>
      <c r="Q30" s="432">
        <f t="shared" si="18"/>
        <v>0</v>
      </c>
      <c r="R30" s="432">
        <f t="shared" si="19"/>
        <v>0</v>
      </c>
    </row>
    <row r="31" spans="1:18" ht="15" x14ac:dyDescent="0.25">
      <c r="A31" s="496" t="s">
        <v>224</v>
      </c>
      <c r="B31" s="194" t="s">
        <v>81</v>
      </c>
      <c r="C31" s="159">
        <v>3900000</v>
      </c>
      <c r="D31" s="184"/>
      <c r="E31" s="457"/>
      <c r="F31" s="458"/>
      <c r="G31" s="459"/>
      <c r="H31" s="185">
        <f t="shared" si="15"/>
        <v>3900000</v>
      </c>
      <c r="I31" s="186">
        <f>JUNIO!I31+JUNIO!J31</f>
        <v>1433300</v>
      </c>
      <c r="J31" s="619">
        <v>245300</v>
      </c>
      <c r="K31" s="187">
        <f t="shared" ref="K31:K37" si="22">L31/H31</f>
        <v>0.43041025641025643</v>
      </c>
      <c r="L31" s="188">
        <f t="shared" si="16"/>
        <v>1678600</v>
      </c>
      <c r="M31" s="321">
        <f t="shared" si="20"/>
        <v>1678600</v>
      </c>
      <c r="N31" s="189">
        <f t="shared" si="17"/>
        <v>2221400</v>
      </c>
      <c r="O31" s="190">
        <f t="shared" ref="O31:O37" si="23">N31/H31</f>
        <v>0.56958974358974357</v>
      </c>
      <c r="P31" s="188">
        <f>L31</f>
        <v>1678600</v>
      </c>
      <c r="Q31" s="432">
        <f t="shared" si="18"/>
        <v>0</v>
      </c>
      <c r="R31" s="432">
        <f t="shared" si="19"/>
        <v>0</v>
      </c>
    </row>
    <row r="32" spans="1:18" ht="15" x14ac:dyDescent="0.25">
      <c r="A32" s="496" t="s">
        <v>225</v>
      </c>
      <c r="B32" s="194" t="s">
        <v>74</v>
      </c>
      <c r="C32" s="159">
        <v>52000000</v>
      </c>
      <c r="D32" s="184"/>
      <c r="E32" s="457"/>
      <c r="F32" s="458"/>
      <c r="G32" s="459"/>
      <c r="H32" s="185">
        <f t="shared" si="15"/>
        <v>52000000</v>
      </c>
      <c r="I32" s="186">
        <f>JUNIO!I32+JUNIO!J32</f>
        <v>29786964</v>
      </c>
      <c r="J32" s="619">
        <v>4965237</v>
      </c>
      <c r="K32" s="187">
        <f t="shared" si="22"/>
        <v>0.66831155769230766</v>
      </c>
      <c r="L32" s="188">
        <f t="shared" si="16"/>
        <v>34752201</v>
      </c>
      <c r="M32" s="321">
        <f t="shared" si="20"/>
        <v>34752201</v>
      </c>
      <c r="N32" s="189">
        <f t="shared" si="17"/>
        <v>17247799</v>
      </c>
      <c r="O32" s="190">
        <f t="shared" si="23"/>
        <v>0.33168844230769229</v>
      </c>
      <c r="P32" s="188">
        <f>L32</f>
        <v>34752201</v>
      </c>
      <c r="Q32" s="432">
        <f t="shared" si="18"/>
        <v>0</v>
      </c>
      <c r="R32" s="432">
        <f t="shared" si="19"/>
        <v>0</v>
      </c>
    </row>
    <row r="33" spans="1:18" ht="15" x14ac:dyDescent="0.25">
      <c r="A33" s="496" t="s">
        <v>226</v>
      </c>
      <c r="B33" s="194" t="s">
        <v>84</v>
      </c>
      <c r="C33" s="159">
        <v>27000000</v>
      </c>
      <c r="D33" s="184"/>
      <c r="E33" s="457"/>
      <c r="F33" s="458"/>
      <c r="G33" s="459"/>
      <c r="H33" s="185">
        <f t="shared" si="15"/>
        <v>27000000</v>
      </c>
      <c r="I33" s="186">
        <f>JUNIO!I33+JUNIO!J33</f>
        <v>11663400</v>
      </c>
      <c r="J33" s="619">
        <v>1877400</v>
      </c>
      <c r="K33" s="187">
        <f t="shared" si="22"/>
        <v>0.50151111111111113</v>
      </c>
      <c r="L33" s="188">
        <f t="shared" si="16"/>
        <v>13540800</v>
      </c>
      <c r="M33" s="321">
        <f t="shared" si="20"/>
        <v>13540800</v>
      </c>
      <c r="N33" s="189">
        <f t="shared" si="17"/>
        <v>13459200</v>
      </c>
      <c r="O33" s="190">
        <f t="shared" si="23"/>
        <v>0.49848888888888887</v>
      </c>
      <c r="P33" s="188">
        <f t="shared" si="21"/>
        <v>13540800</v>
      </c>
      <c r="Q33" s="432">
        <f t="shared" si="18"/>
        <v>0</v>
      </c>
      <c r="R33" s="432">
        <f t="shared" si="19"/>
        <v>0</v>
      </c>
    </row>
    <row r="34" spans="1:18" ht="15" x14ac:dyDescent="0.25">
      <c r="A34" s="496" t="s">
        <v>227</v>
      </c>
      <c r="B34" s="194" t="s">
        <v>86</v>
      </c>
      <c r="C34" s="159">
        <v>23000000</v>
      </c>
      <c r="D34" s="184"/>
      <c r="E34" s="457"/>
      <c r="F34" s="458"/>
      <c r="G34" s="459"/>
      <c r="H34" s="185">
        <f t="shared" si="15"/>
        <v>23000000</v>
      </c>
      <c r="I34" s="186">
        <f>JUNIO!I34+JUNIO!J34</f>
        <v>8747300</v>
      </c>
      <c r="J34" s="619">
        <v>1408000</v>
      </c>
      <c r="K34" s="187">
        <f t="shared" si="22"/>
        <v>0.44153478260869566</v>
      </c>
      <c r="L34" s="188">
        <f t="shared" si="16"/>
        <v>10155300</v>
      </c>
      <c r="M34" s="321">
        <f t="shared" si="20"/>
        <v>10155300</v>
      </c>
      <c r="N34" s="189">
        <f t="shared" si="17"/>
        <v>12844700</v>
      </c>
      <c r="O34" s="190">
        <f t="shared" si="23"/>
        <v>0.55846521739130439</v>
      </c>
      <c r="P34" s="188">
        <f>L34</f>
        <v>10155300</v>
      </c>
      <c r="Q34" s="432">
        <f t="shared" si="18"/>
        <v>0</v>
      </c>
      <c r="R34" s="432">
        <f t="shared" si="19"/>
        <v>0</v>
      </c>
    </row>
    <row r="35" spans="1:18" ht="15" x14ac:dyDescent="0.25">
      <c r="A35" s="496" t="s">
        <v>228</v>
      </c>
      <c r="B35" s="194" t="s">
        <v>88</v>
      </c>
      <c r="C35" s="159">
        <v>4000000</v>
      </c>
      <c r="D35" s="184"/>
      <c r="E35" s="457"/>
      <c r="F35" s="458"/>
      <c r="G35" s="459"/>
      <c r="H35" s="185">
        <f t="shared" si="15"/>
        <v>4000000</v>
      </c>
      <c r="I35" s="186">
        <f>JUNIO!I35+JUNIO!J35</f>
        <v>1460300</v>
      </c>
      <c r="J35" s="619">
        <v>235100</v>
      </c>
      <c r="K35" s="187">
        <f t="shared" si="22"/>
        <v>0.42385</v>
      </c>
      <c r="L35" s="188">
        <f t="shared" si="16"/>
        <v>1695400</v>
      </c>
      <c r="M35" s="321">
        <f t="shared" si="20"/>
        <v>1695400</v>
      </c>
      <c r="N35" s="189">
        <f t="shared" si="17"/>
        <v>2304600</v>
      </c>
      <c r="O35" s="190">
        <f t="shared" si="23"/>
        <v>0.57615000000000005</v>
      </c>
      <c r="P35" s="188">
        <f t="shared" si="21"/>
        <v>1695400</v>
      </c>
      <c r="Q35" s="432">
        <f t="shared" si="18"/>
        <v>0</v>
      </c>
      <c r="R35" s="432">
        <f t="shared" si="19"/>
        <v>0</v>
      </c>
    </row>
    <row r="36" spans="1:18" ht="15" x14ac:dyDescent="0.25">
      <c r="A36" s="496" t="s">
        <v>229</v>
      </c>
      <c r="B36" s="194" t="s">
        <v>90</v>
      </c>
      <c r="C36" s="159">
        <v>4000000</v>
      </c>
      <c r="D36" s="184"/>
      <c r="E36" s="457"/>
      <c r="F36" s="458"/>
      <c r="G36" s="459"/>
      <c r="H36" s="185">
        <f t="shared" si="15"/>
        <v>4000000</v>
      </c>
      <c r="I36" s="186">
        <f>JUNIO!I36+JUNIO!J36</f>
        <v>1460300</v>
      </c>
      <c r="J36" s="619">
        <v>235100</v>
      </c>
      <c r="K36" s="187">
        <f t="shared" si="22"/>
        <v>0.42385</v>
      </c>
      <c r="L36" s="188">
        <f t="shared" si="16"/>
        <v>1695400</v>
      </c>
      <c r="M36" s="321">
        <f t="shared" si="20"/>
        <v>1695400</v>
      </c>
      <c r="N36" s="189">
        <f t="shared" si="17"/>
        <v>2304600</v>
      </c>
      <c r="O36" s="190">
        <f t="shared" si="23"/>
        <v>0.57615000000000005</v>
      </c>
      <c r="P36" s="188">
        <f t="shared" si="21"/>
        <v>1695400</v>
      </c>
      <c r="Q36" s="432">
        <f t="shared" si="18"/>
        <v>0</v>
      </c>
      <c r="R36" s="432">
        <f t="shared" si="19"/>
        <v>0</v>
      </c>
    </row>
    <row r="37" spans="1:18" ht="15" x14ac:dyDescent="0.25">
      <c r="A37" s="496" t="s">
        <v>230</v>
      </c>
      <c r="B37" s="194" t="s">
        <v>92</v>
      </c>
      <c r="C37" s="159">
        <v>7200000</v>
      </c>
      <c r="D37" s="184"/>
      <c r="E37" s="457"/>
      <c r="F37" s="458"/>
      <c r="G37" s="459"/>
      <c r="H37" s="185">
        <f t="shared" si="15"/>
        <v>7200000</v>
      </c>
      <c r="I37" s="186">
        <f>JUNIO!I37+JUNIO!J37</f>
        <v>2918300</v>
      </c>
      <c r="J37" s="619">
        <v>469800</v>
      </c>
      <c r="K37" s="187">
        <f t="shared" si="22"/>
        <v>0.47056944444444443</v>
      </c>
      <c r="L37" s="188">
        <f t="shared" si="16"/>
        <v>3388100</v>
      </c>
      <c r="M37" s="321">
        <f t="shared" si="20"/>
        <v>3388100</v>
      </c>
      <c r="N37" s="189">
        <f t="shared" si="17"/>
        <v>3811900</v>
      </c>
      <c r="O37" s="190">
        <f t="shared" si="23"/>
        <v>0.52943055555555552</v>
      </c>
      <c r="P37" s="188">
        <f t="shared" si="21"/>
        <v>3388100</v>
      </c>
      <c r="Q37" s="432">
        <f t="shared" si="18"/>
        <v>0</v>
      </c>
      <c r="R37" s="432">
        <f t="shared" si="19"/>
        <v>0</v>
      </c>
    </row>
    <row r="38" spans="1:18" ht="15" x14ac:dyDescent="0.25">
      <c r="A38" s="181">
        <v>2021010410</v>
      </c>
      <c r="B38" s="194" t="s">
        <v>94</v>
      </c>
      <c r="C38" s="159">
        <v>0</v>
      </c>
      <c r="D38" s="186"/>
      <c r="E38" s="457"/>
      <c r="F38" s="458"/>
      <c r="G38" s="459"/>
      <c r="H38" s="185">
        <f t="shared" si="15"/>
        <v>0</v>
      </c>
      <c r="I38" s="186">
        <f>JUNIO!I38+JUNIO!J38</f>
        <v>0</v>
      </c>
      <c r="J38" s="619">
        <v>0</v>
      </c>
      <c r="K38" s="187">
        <v>0</v>
      </c>
      <c r="L38" s="196">
        <f t="shared" si="16"/>
        <v>0</v>
      </c>
      <c r="M38" s="321">
        <f t="shared" si="20"/>
        <v>0</v>
      </c>
      <c r="N38" s="189">
        <f t="shared" si="17"/>
        <v>0</v>
      </c>
      <c r="O38" s="190">
        <v>0</v>
      </c>
      <c r="P38" s="188">
        <f t="shared" si="21"/>
        <v>0</v>
      </c>
      <c r="Q38" s="432">
        <f t="shared" si="18"/>
        <v>0</v>
      </c>
      <c r="R38" s="432">
        <f t="shared" si="19"/>
        <v>0</v>
      </c>
    </row>
    <row r="39" spans="1:18" s="192" customFormat="1" ht="27.75" customHeight="1" x14ac:dyDescent="0.2">
      <c r="A39" s="498">
        <v>20210201</v>
      </c>
      <c r="B39" s="195" t="s">
        <v>31</v>
      </c>
      <c r="C39" s="176">
        <f t="shared" ref="C39:J39" si="24">SUM(C40:C43)</f>
        <v>27300000</v>
      </c>
      <c r="D39" s="176">
        <f t="shared" si="24"/>
        <v>0</v>
      </c>
      <c r="E39" s="176">
        <f t="shared" si="24"/>
        <v>0</v>
      </c>
      <c r="F39" s="176">
        <f t="shared" si="24"/>
        <v>12587000</v>
      </c>
      <c r="G39" s="176">
        <f t="shared" si="24"/>
        <v>400100</v>
      </c>
      <c r="H39" s="176">
        <f t="shared" si="24"/>
        <v>39486900</v>
      </c>
      <c r="I39" s="176">
        <f t="shared" si="24"/>
        <v>25686900</v>
      </c>
      <c r="J39" s="176">
        <f t="shared" si="24"/>
        <v>1300000</v>
      </c>
      <c r="K39" s="177">
        <f>L39/H39</f>
        <v>0.68343931784971723</v>
      </c>
      <c r="L39" s="191">
        <f>SUM(L40:L43)</f>
        <v>26986900</v>
      </c>
      <c r="M39" s="191">
        <f>SUM(M40:M43)</f>
        <v>26986900</v>
      </c>
      <c r="N39" s="176">
        <f>SUM(N40:N43)</f>
        <v>12500000</v>
      </c>
      <c r="O39" s="179">
        <f>N39/H39</f>
        <v>0.31656068215028277</v>
      </c>
      <c r="P39" s="176">
        <f>SUM(P40:P43)</f>
        <v>26986900</v>
      </c>
      <c r="Q39" s="176">
        <f>SUM(Q40:Q43)</f>
        <v>0</v>
      </c>
      <c r="R39" s="176">
        <f t="shared" si="19"/>
        <v>0</v>
      </c>
    </row>
    <row r="40" spans="1:18" ht="15" x14ac:dyDescent="0.25">
      <c r="A40" s="496" t="s">
        <v>231</v>
      </c>
      <c r="B40" s="194" t="s">
        <v>33</v>
      </c>
      <c r="C40" s="159">
        <v>6000000</v>
      </c>
      <c r="D40" s="186"/>
      <c r="E40" s="457"/>
      <c r="F40" s="458"/>
      <c r="G40" s="459"/>
      <c r="H40" s="185">
        <f>C40-D40+E40+F40-G40</f>
        <v>6000000</v>
      </c>
      <c r="I40" s="186">
        <f>JUNIO!I40+JUNIO!J40</f>
        <v>0</v>
      </c>
      <c r="J40" s="619">
        <v>0</v>
      </c>
      <c r="K40" s="187">
        <v>0</v>
      </c>
      <c r="L40" s="188">
        <f>J40+I40</f>
        <v>0</v>
      </c>
      <c r="M40" s="321">
        <f>I40+J40</f>
        <v>0</v>
      </c>
      <c r="N40" s="189">
        <f>H40-L40</f>
        <v>6000000</v>
      </c>
      <c r="O40" s="190">
        <v>0</v>
      </c>
      <c r="P40" s="432">
        <f>M40</f>
        <v>0</v>
      </c>
      <c r="Q40" s="432">
        <f>M40-P40</f>
        <v>0</v>
      </c>
      <c r="R40" s="432">
        <f t="shared" si="19"/>
        <v>0</v>
      </c>
    </row>
    <row r="41" spans="1:18" ht="15" x14ac:dyDescent="0.25">
      <c r="A41" s="496">
        <v>2021020102</v>
      </c>
      <c r="B41" s="197" t="s">
        <v>35</v>
      </c>
      <c r="C41" s="159">
        <v>20000000</v>
      </c>
      <c r="D41" s="186"/>
      <c r="E41" s="457"/>
      <c r="F41" s="458">
        <f>10000000+2287000</f>
        <v>12287000</v>
      </c>
      <c r="G41" s="459"/>
      <c r="H41" s="185">
        <f>C41-D41+E41+F41-G41</f>
        <v>32287000</v>
      </c>
      <c r="I41" s="186">
        <f>JUNIO!I41+JUNIO!J41</f>
        <v>24487000</v>
      </c>
      <c r="J41" s="619">
        <v>1300000</v>
      </c>
      <c r="K41" s="187">
        <f>L41/H41</f>
        <v>0.79868058351658566</v>
      </c>
      <c r="L41" s="188">
        <f>J41+I41</f>
        <v>25787000</v>
      </c>
      <c r="M41" s="321">
        <f>I41+J41</f>
        <v>25787000</v>
      </c>
      <c r="N41" s="189">
        <f>H41-L41</f>
        <v>6500000</v>
      </c>
      <c r="O41" s="198">
        <f>N41/H41</f>
        <v>0.20131941648341437</v>
      </c>
      <c r="P41" s="432">
        <f>M41</f>
        <v>25787000</v>
      </c>
      <c r="Q41" s="432">
        <f>M41-P41</f>
        <v>0</v>
      </c>
      <c r="R41" s="432">
        <f t="shared" si="19"/>
        <v>0</v>
      </c>
    </row>
    <row r="42" spans="1:18" ht="15" x14ac:dyDescent="0.25">
      <c r="A42" s="496" t="s">
        <v>233</v>
      </c>
      <c r="B42" s="194" t="s">
        <v>37</v>
      </c>
      <c r="C42" s="159">
        <v>1300000</v>
      </c>
      <c r="D42" s="186"/>
      <c r="E42" s="457"/>
      <c r="F42" s="458">
        <v>300000</v>
      </c>
      <c r="G42" s="459">
        <v>400100</v>
      </c>
      <c r="H42" s="185">
        <f>C42-D42+E42+F42-G42</f>
        <v>1199900</v>
      </c>
      <c r="I42" s="186">
        <f>JUNIO!I42+JUNIO!J42</f>
        <v>1199900</v>
      </c>
      <c r="J42" s="619">
        <v>0</v>
      </c>
      <c r="K42" s="187">
        <f>L42/H42</f>
        <v>1</v>
      </c>
      <c r="L42" s="188">
        <f>J42+I42</f>
        <v>1199900</v>
      </c>
      <c r="M42" s="321">
        <f>I42+J42</f>
        <v>1199900</v>
      </c>
      <c r="N42" s="189">
        <f>H42-L42</f>
        <v>0</v>
      </c>
      <c r="O42" s="198">
        <f>N42/H42</f>
        <v>0</v>
      </c>
      <c r="P42" s="188">
        <f>L42</f>
        <v>1199900</v>
      </c>
      <c r="Q42" s="432">
        <f>M42-P42</f>
        <v>0</v>
      </c>
      <c r="R42" s="432">
        <f t="shared" si="19"/>
        <v>0</v>
      </c>
    </row>
    <row r="43" spans="1:18" ht="15" x14ac:dyDescent="0.25">
      <c r="A43" s="181">
        <v>202120105</v>
      </c>
      <c r="B43" s="194" t="s">
        <v>39</v>
      </c>
      <c r="C43" s="159">
        <v>0</v>
      </c>
      <c r="D43" s="186"/>
      <c r="E43" s="457"/>
      <c r="F43" s="458"/>
      <c r="G43" s="459"/>
      <c r="H43" s="185">
        <f>C43-D43+E43+F43-G43</f>
        <v>0</v>
      </c>
      <c r="I43" s="186">
        <f>JUNIO!I43+JUNIO!J43</f>
        <v>0</v>
      </c>
      <c r="J43" s="619">
        <v>0</v>
      </c>
      <c r="K43" s="187">
        <v>0</v>
      </c>
      <c r="L43" s="196">
        <f>J43+I43</f>
        <v>0</v>
      </c>
      <c r="M43" s="321">
        <f>I43+J43</f>
        <v>0</v>
      </c>
      <c r="N43" s="189">
        <f>H43-L43</f>
        <v>0</v>
      </c>
      <c r="O43" s="198">
        <v>0</v>
      </c>
      <c r="P43" s="188">
        <f>L43</f>
        <v>0</v>
      </c>
      <c r="Q43" s="432">
        <f>M43-P43</f>
        <v>0</v>
      </c>
      <c r="R43" s="432">
        <f t="shared" si="19"/>
        <v>0</v>
      </c>
    </row>
    <row r="44" spans="1:18" s="192" customFormat="1" ht="27.75" customHeight="1" x14ac:dyDescent="0.2">
      <c r="A44" s="498" t="s">
        <v>235</v>
      </c>
      <c r="B44" s="195" t="s">
        <v>41</v>
      </c>
      <c r="C44" s="176">
        <f t="shared" ref="C44:I44" si="25">SUM(C45:C60)</f>
        <v>158227607</v>
      </c>
      <c r="D44" s="176">
        <f t="shared" si="25"/>
        <v>0</v>
      </c>
      <c r="E44" s="176">
        <f t="shared" si="25"/>
        <v>0</v>
      </c>
      <c r="F44" s="176">
        <f t="shared" si="25"/>
        <v>17704200</v>
      </c>
      <c r="G44" s="176">
        <f t="shared" si="25"/>
        <v>0</v>
      </c>
      <c r="H44" s="176">
        <f t="shared" si="25"/>
        <v>175931807</v>
      </c>
      <c r="I44" s="176">
        <f t="shared" si="25"/>
        <v>76802721</v>
      </c>
      <c r="J44" s="176">
        <f>SUM(J45:J60)</f>
        <v>12362799</v>
      </c>
      <c r="K44" s="177">
        <f>L44/H44</f>
        <v>0.50681864479457084</v>
      </c>
      <c r="L44" s="178">
        <f>SUM(L45:L60)</f>
        <v>89165520</v>
      </c>
      <c r="M44" s="178">
        <f>SUM(M45:M60)</f>
        <v>89165520</v>
      </c>
      <c r="N44" s="191">
        <f>SUM(N45:N60)</f>
        <v>86766287</v>
      </c>
      <c r="O44" s="179">
        <f t="shared" ref="O44:O49" si="26">N44/H44</f>
        <v>0.49318135520542911</v>
      </c>
      <c r="P44" s="191">
        <f>SUM(P45:P60)</f>
        <v>89165520</v>
      </c>
      <c r="Q44" s="191">
        <f>SUM(Q45:Q60)</f>
        <v>0</v>
      </c>
      <c r="R44" s="191">
        <f t="shared" si="19"/>
        <v>0</v>
      </c>
    </row>
    <row r="45" spans="1:18" ht="15.75" x14ac:dyDescent="0.25">
      <c r="A45" s="496">
        <v>2021020201</v>
      </c>
      <c r="B45" s="194" t="s">
        <v>43</v>
      </c>
      <c r="C45" s="159">
        <v>9400000</v>
      </c>
      <c r="D45" s="186"/>
      <c r="E45" s="457"/>
      <c r="F45" s="458">
        <f>3000000+3000000</f>
        <v>6000000</v>
      </c>
      <c r="G45" s="459"/>
      <c r="H45" s="185">
        <f t="shared" ref="H45:H60" si="27">C45-D45+E45+F45-G45</f>
        <v>15400000</v>
      </c>
      <c r="I45" s="186">
        <f>JUNIO!I45+JUNIO!J45</f>
        <v>7000000</v>
      </c>
      <c r="J45" s="620">
        <v>1400000</v>
      </c>
      <c r="K45" s="187">
        <f t="shared" ref="K45:K51" si="28">L45/H45</f>
        <v>0.54545454545454541</v>
      </c>
      <c r="L45" s="188">
        <f>J45+I45</f>
        <v>8400000</v>
      </c>
      <c r="M45" s="434">
        <f>I45+J45</f>
        <v>8400000</v>
      </c>
      <c r="N45" s="437">
        <f t="shared" ref="N45:N60" si="29">H45-L45</f>
        <v>7000000</v>
      </c>
      <c r="O45" s="436">
        <f t="shared" si="26"/>
        <v>0.45454545454545453</v>
      </c>
      <c r="P45" s="188">
        <f t="shared" ref="P45:P60" si="30">L45</f>
        <v>8400000</v>
      </c>
      <c r="Q45" s="432">
        <f t="shared" ref="Q45:Q60" si="31">M45-P45</f>
        <v>0</v>
      </c>
      <c r="R45" s="435">
        <f>SUM(R46:R49)</f>
        <v>0</v>
      </c>
    </row>
    <row r="46" spans="1:18" ht="15" x14ac:dyDescent="0.25">
      <c r="A46" s="496" t="s">
        <v>236</v>
      </c>
      <c r="B46" s="194" t="s">
        <v>44</v>
      </c>
      <c r="C46" s="159">
        <v>73027607</v>
      </c>
      <c r="D46" s="186"/>
      <c r="E46" s="457"/>
      <c r="F46" s="458"/>
      <c r="G46" s="459"/>
      <c r="H46" s="185">
        <f t="shared" si="27"/>
        <v>73027607</v>
      </c>
      <c r="I46" s="186">
        <f>JUNIO!I46+JUNIO!J46</f>
        <v>49957779</v>
      </c>
      <c r="J46" s="620">
        <v>9428151</v>
      </c>
      <c r="K46" s="187">
        <f t="shared" si="28"/>
        <v>0.81319835661601236</v>
      </c>
      <c r="L46" s="188">
        <f t="shared" ref="L46:L60" si="32">J46+I46</f>
        <v>59385930</v>
      </c>
      <c r="M46" s="321">
        <f t="shared" ref="M46:M62" si="33">I46+J46</f>
        <v>59385930</v>
      </c>
      <c r="N46" s="189">
        <f t="shared" si="29"/>
        <v>13641677</v>
      </c>
      <c r="O46" s="198">
        <f t="shared" si="26"/>
        <v>0.18680164338398764</v>
      </c>
      <c r="P46" s="188">
        <f t="shared" si="30"/>
        <v>59385930</v>
      </c>
      <c r="Q46" s="432">
        <f t="shared" si="31"/>
        <v>0</v>
      </c>
      <c r="R46" s="432">
        <f>L46-M46</f>
        <v>0</v>
      </c>
    </row>
    <row r="47" spans="1:18" ht="15" x14ac:dyDescent="0.25">
      <c r="A47" s="496" t="s">
        <v>237</v>
      </c>
      <c r="B47" s="194" t="s">
        <v>46</v>
      </c>
      <c r="C47" s="159">
        <v>2000000</v>
      </c>
      <c r="D47" s="186"/>
      <c r="E47" s="457"/>
      <c r="F47" s="458">
        <v>1190000</v>
      </c>
      <c r="G47" s="459"/>
      <c r="H47" s="185">
        <f t="shared" si="27"/>
        <v>3190000</v>
      </c>
      <c r="I47" s="186">
        <f>JUNIO!I47+JUNIO!J47</f>
        <v>1390000</v>
      </c>
      <c r="J47" s="620">
        <v>300000</v>
      </c>
      <c r="K47" s="187">
        <f t="shared" si="28"/>
        <v>0.52978056426332287</v>
      </c>
      <c r="L47" s="188">
        <f t="shared" si="32"/>
        <v>1690000</v>
      </c>
      <c r="M47" s="321">
        <f t="shared" si="33"/>
        <v>1690000</v>
      </c>
      <c r="N47" s="189">
        <f t="shared" si="29"/>
        <v>1500000</v>
      </c>
      <c r="O47" s="198">
        <f t="shared" si="26"/>
        <v>0.47021943573667713</v>
      </c>
      <c r="P47" s="188">
        <f t="shared" si="30"/>
        <v>1690000</v>
      </c>
      <c r="Q47" s="432">
        <f t="shared" si="31"/>
        <v>0</v>
      </c>
      <c r="R47" s="432">
        <f>L47-M47</f>
        <v>0</v>
      </c>
    </row>
    <row r="48" spans="1:18" ht="15" x14ac:dyDescent="0.25">
      <c r="A48" s="496" t="s">
        <v>238</v>
      </c>
      <c r="B48" s="194" t="s">
        <v>48</v>
      </c>
      <c r="C48" s="159">
        <f>750000*12</f>
        <v>9000000</v>
      </c>
      <c r="D48" s="186"/>
      <c r="E48" s="457"/>
      <c r="F48" s="458"/>
      <c r="G48" s="459"/>
      <c r="H48" s="185">
        <f t="shared" si="27"/>
        <v>9000000</v>
      </c>
      <c r="I48" s="186">
        <f>JUNIO!I48+JUNIO!J48</f>
        <v>5164000</v>
      </c>
      <c r="J48" s="620">
        <v>547400</v>
      </c>
      <c r="K48" s="187">
        <f t="shared" si="28"/>
        <v>0.63460000000000005</v>
      </c>
      <c r="L48" s="188">
        <f t="shared" si="32"/>
        <v>5711400</v>
      </c>
      <c r="M48" s="321">
        <f t="shared" si="33"/>
        <v>5711400</v>
      </c>
      <c r="N48" s="189">
        <f t="shared" si="29"/>
        <v>3288600</v>
      </c>
      <c r="O48" s="190">
        <f t="shared" si="26"/>
        <v>0.3654</v>
      </c>
      <c r="P48" s="188">
        <f t="shared" si="30"/>
        <v>5711400</v>
      </c>
      <c r="Q48" s="432">
        <f t="shared" si="31"/>
        <v>0</v>
      </c>
      <c r="R48" s="432">
        <f>L48-M48</f>
        <v>0</v>
      </c>
    </row>
    <row r="49" spans="1:18" ht="15" x14ac:dyDescent="0.25">
      <c r="A49" s="496" t="s">
        <v>239</v>
      </c>
      <c r="B49" s="194" t="s">
        <v>50</v>
      </c>
      <c r="C49" s="159">
        <v>4500000</v>
      </c>
      <c r="D49" s="186"/>
      <c r="E49" s="457"/>
      <c r="F49" s="458"/>
      <c r="G49" s="459"/>
      <c r="H49" s="185">
        <f t="shared" si="27"/>
        <v>4500000</v>
      </c>
      <c r="I49" s="186">
        <f>JUNIO!I49+JUNIO!J49</f>
        <v>2055069</v>
      </c>
      <c r="J49" s="620">
        <v>342238</v>
      </c>
      <c r="K49" s="187">
        <f t="shared" si="28"/>
        <v>0.53273488888888887</v>
      </c>
      <c r="L49" s="188">
        <f t="shared" si="32"/>
        <v>2397307</v>
      </c>
      <c r="M49" s="321">
        <f t="shared" si="33"/>
        <v>2397307</v>
      </c>
      <c r="N49" s="189">
        <f t="shared" si="29"/>
        <v>2102693</v>
      </c>
      <c r="O49" s="190">
        <f t="shared" si="26"/>
        <v>0.46726511111111113</v>
      </c>
      <c r="P49" s="188">
        <f t="shared" si="30"/>
        <v>2397307</v>
      </c>
      <c r="Q49" s="432">
        <f t="shared" si="31"/>
        <v>0</v>
      </c>
      <c r="R49" s="432">
        <f>L49-M49</f>
        <v>0</v>
      </c>
    </row>
    <row r="50" spans="1:18" ht="15.75" x14ac:dyDescent="0.25">
      <c r="A50" s="496" t="s">
        <v>240</v>
      </c>
      <c r="B50" s="194" t="s">
        <v>52</v>
      </c>
      <c r="C50" s="159">
        <v>2500000</v>
      </c>
      <c r="D50" s="186"/>
      <c r="E50" s="457"/>
      <c r="F50" s="458"/>
      <c r="G50" s="459"/>
      <c r="H50" s="185">
        <f t="shared" si="27"/>
        <v>2500000</v>
      </c>
      <c r="I50" s="186">
        <f>JUNIO!I50+JUNIO!J50</f>
        <v>917334</v>
      </c>
      <c r="J50" s="620">
        <v>145010</v>
      </c>
      <c r="K50" s="187">
        <f t="shared" si="28"/>
        <v>0.42493760000000003</v>
      </c>
      <c r="L50" s="188">
        <f t="shared" si="32"/>
        <v>1062344</v>
      </c>
      <c r="M50" s="434">
        <f t="shared" si="33"/>
        <v>1062344</v>
      </c>
      <c r="N50" s="189">
        <f t="shared" si="29"/>
        <v>1437656</v>
      </c>
      <c r="O50" s="190">
        <v>0</v>
      </c>
      <c r="P50" s="188">
        <f t="shared" si="30"/>
        <v>1062344</v>
      </c>
      <c r="Q50" s="432">
        <f t="shared" si="31"/>
        <v>0</v>
      </c>
      <c r="R50" s="433">
        <f>SUM(R51:R60)</f>
        <v>0</v>
      </c>
    </row>
    <row r="51" spans="1:18" ht="15" x14ac:dyDescent="0.25">
      <c r="A51" s="496" t="s">
        <v>241</v>
      </c>
      <c r="B51" s="197" t="s">
        <v>54</v>
      </c>
      <c r="C51" s="159">
        <v>1500000</v>
      </c>
      <c r="D51" s="186"/>
      <c r="E51" s="457"/>
      <c r="F51" s="458">
        <v>514200</v>
      </c>
      <c r="G51" s="459"/>
      <c r="H51" s="185">
        <f t="shared" si="27"/>
        <v>2014200</v>
      </c>
      <c r="I51" s="186">
        <f>JUNIO!I51+JUNIO!J51</f>
        <v>814200</v>
      </c>
      <c r="J51" s="620">
        <v>200000</v>
      </c>
      <c r="K51" s="187">
        <f t="shared" si="28"/>
        <v>0.50352497269387353</v>
      </c>
      <c r="L51" s="188">
        <f>J51+I51</f>
        <v>1014200</v>
      </c>
      <c r="M51" s="321">
        <f>I51+J51</f>
        <v>1014200</v>
      </c>
      <c r="N51" s="189">
        <f t="shared" si="29"/>
        <v>1000000</v>
      </c>
      <c r="O51" s="190">
        <f>N51/H51</f>
        <v>0.49647502730612653</v>
      </c>
      <c r="P51" s="188">
        <f t="shared" si="30"/>
        <v>1014200</v>
      </c>
      <c r="Q51" s="432">
        <f t="shared" si="31"/>
        <v>0</v>
      </c>
      <c r="R51" s="432">
        <f t="shared" ref="R51:R60" si="34">L51-M51</f>
        <v>0</v>
      </c>
    </row>
    <row r="52" spans="1:18" ht="15" x14ac:dyDescent="0.25">
      <c r="A52" s="181">
        <v>2021020208</v>
      </c>
      <c r="B52" s="194" t="s">
        <v>56</v>
      </c>
      <c r="C52" s="159">
        <v>0</v>
      </c>
      <c r="D52" s="186"/>
      <c r="E52" s="457"/>
      <c r="F52" s="458"/>
      <c r="G52" s="459"/>
      <c r="H52" s="185">
        <f t="shared" si="27"/>
        <v>0</v>
      </c>
      <c r="I52" s="186">
        <f>JUNIO!I52+JUNIO!J52</f>
        <v>0</v>
      </c>
      <c r="J52" s="620">
        <v>0</v>
      </c>
      <c r="K52" s="187">
        <v>0</v>
      </c>
      <c r="L52" s="188">
        <f t="shared" si="32"/>
        <v>0</v>
      </c>
      <c r="M52" s="321">
        <f t="shared" si="33"/>
        <v>0</v>
      </c>
      <c r="N52" s="189">
        <f t="shared" si="29"/>
        <v>0</v>
      </c>
      <c r="O52" s="190">
        <v>0</v>
      </c>
      <c r="P52" s="188">
        <f t="shared" si="30"/>
        <v>0</v>
      </c>
      <c r="Q52" s="432">
        <f t="shared" si="31"/>
        <v>0</v>
      </c>
      <c r="R52" s="432">
        <f t="shared" si="34"/>
        <v>0</v>
      </c>
    </row>
    <row r="53" spans="1:18" ht="15" x14ac:dyDescent="0.25">
      <c r="A53" s="496" t="s">
        <v>242</v>
      </c>
      <c r="B53" s="194" t="s">
        <v>58</v>
      </c>
      <c r="C53" s="159">
        <v>5000000</v>
      </c>
      <c r="D53" s="186"/>
      <c r="E53" s="457"/>
      <c r="F53" s="458"/>
      <c r="G53" s="459"/>
      <c r="H53" s="185">
        <f t="shared" si="27"/>
        <v>5000000</v>
      </c>
      <c r="I53" s="186">
        <f>JUNIO!I53+JUNIO!J53</f>
        <v>2364339</v>
      </c>
      <c r="J53" s="620">
        <v>0</v>
      </c>
      <c r="K53" s="187">
        <f>L53/H53</f>
        <v>0.4728678</v>
      </c>
      <c r="L53" s="188">
        <f t="shared" si="32"/>
        <v>2364339</v>
      </c>
      <c r="M53" s="321">
        <f t="shared" si="33"/>
        <v>2364339</v>
      </c>
      <c r="N53" s="189">
        <f t="shared" si="29"/>
        <v>2635661</v>
      </c>
      <c r="O53" s="190">
        <f>N53/H53</f>
        <v>0.52713220000000005</v>
      </c>
      <c r="P53" s="188">
        <f t="shared" si="30"/>
        <v>2364339</v>
      </c>
      <c r="Q53" s="432">
        <f t="shared" si="31"/>
        <v>0</v>
      </c>
      <c r="R53" s="432">
        <f t="shared" si="34"/>
        <v>0</v>
      </c>
    </row>
    <row r="54" spans="1:18" ht="15" x14ac:dyDescent="0.25">
      <c r="A54" s="496" t="s">
        <v>243</v>
      </c>
      <c r="B54" s="197" t="s">
        <v>60</v>
      </c>
      <c r="C54" s="159">
        <v>24000000</v>
      </c>
      <c r="D54" s="186"/>
      <c r="E54" s="457"/>
      <c r="F54" s="458"/>
      <c r="G54" s="459"/>
      <c r="H54" s="185">
        <f t="shared" si="27"/>
        <v>24000000</v>
      </c>
      <c r="I54" s="186">
        <f>JUNIO!I54+JUNIO!J54</f>
        <v>0</v>
      </c>
      <c r="J54" s="620">
        <v>0</v>
      </c>
      <c r="K54" s="187">
        <f>L54/H54</f>
        <v>0</v>
      </c>
      <c r="L54" s="188">
        <f t="shared" si="32"/>
        <v>0</v>
      </c>
      <c r="M54" s="321">
        <f t="shared" si="33"/>
        <v>0</v>
      </c>
      <c r="N54" s="189">
        <f t="shared" si="29"/>
        <v>24000000</v>
      </c>
      <c r="O54" s="190">
        <f>N54/H54</f>
        <v>1</v>
      </c>
      <c r="P54" s="188">
        <f t="shared" si="30"/>
        <v>0</v>
      </c>
      <c r="Q54" s="432">
        <f t="shared" si="31"/>
        <v>0</v>
      </c>
      <c r="R54" s="432">
        <f t="shared" si="34"/>
        <v>0</v>
      </c>
    </row>
    <row r="55" spans="1:18" ht="15" x14ac:dyDescent="0.25">
      <c r="A55" s="496" t="s">
        <v>244</v>
      </c>
      <c r="B55" s="194" t="s">
        <v>62</v>
      </c>
      <c r="C55" s="159">
        <v>4000000</v>
      </c>
      <c r="D55" s="186"/>
      <c r="E55" s="457"/>
      <c r="F55" s="458">
        <v>10000000</v>
      </c>
      <c r="G55" s="459"/>
      <c r="H55" s="185">
        <f t="shared" si="27"/>
        <v>14000000</v>
      </c>
      <c r="I55" s="186">
        <f>JUNIO!I55+JUNIO!J55</f>
        <v>7140000</v>
      </c>
      <c r="J55" s="620">
        <v>0</v>
      </c>
      <c r="K55" s="187">
        <v>0</v>
      </c>
      <c r="L55" s="188">
        <f t="shared" si="32"/>
        <v>7140000</v>
      </c>
      <c r="M55" s="321">
        <f t="shared" si="33"/>
        <v>7140000</v>
      </c>
      <c r="N55" s="189">
        <f t="shared" si="29"/>
        <v>6860000</v>
      </c>
      <c r="O55" s="190">
        <v>0</v>
      </c>
      <c r="P55" s="188">
        <f t="shared" si="30"/>
        <v>7140000</v>
      </c>
      <c r="Q55" s="432">
        <f t="shared" si="31"/>
        <v>0</v>
      </c>
      <c r="R55" s="432">
        <f t="shared" si="34"/>
        <v>0</v>
      </c>
    </row>
    <row r="56" spans="1:18" ht="15" x14ac:dyDescent="0.25">
      <c r="A56" s="496" t="s">
        <v>245</v>
      </c>
      <c r="B56" s="194" t="s">
        <v>64</v>
      </c>
      <c r="C56" s="159">
        <v>22000000</v>
      </c>
      <c r="D56" s="186"/>
      <c r="E56" s="457"/>
      <c r="F56" s="458"/>
      <c r="G56" s="459"/>
      <c r="H56" s="185">
        <f t="shared" si="27"/>
        <v>22000000</v>
      </c>
      <c r="I56" s="186">
        <f>JUNIO!I56+JUNIO!J56</f>
        <v>0</v>
      </c>
      <c r="J56" s="620">
        <v>0</v>
      </c>
      <c r="K56" s="187">
        <v>0</v>
      </c>
      <c r="L56" s="188">
        <f t="shared" si="32"/>
        <v>0</v>
      </c>
      <c r="M56" s="321">
        <f t="shared" si="33"/>
        <v>0</v>
      </c>
      <c r="N56" s="189">
        <f t="shared" si="29"/>
        <v>22000000</v>
      </c>
      <c r="O56" s="190">
        <v>0</v>
      </c>
      <c r="P56" s="188">
        <f t="shared" si="30"/>
        <v>0</v>
      </c>
      <c r="Q56" s="432">
        <f t="shared" si="31"/>
        <v>0</v>
      </c>
      <c r="R56" s="432">
        <f t="shared" si="34"/>
        <v>0</v>
      </c>
    </row>
    <row r="57" spans="1:18" ht="15" x14ac:dyDescent="0.25">
      <c r="A57" s="181">
        <v>2021020213</v>
      </c>
      <c r="B57" s="194" t="s">
        <v>65</v>
      </c>
      <c r="C57" s="159">
        <v>0</v>
      </c>
      <c r="D57" s="186"/>
      <c r="E57" s="457"/>
      <c r="F57" s="458"/>
      <c r="G57" s="459"/>
      <c r="H57" s="185">
        <f t="shared" si="27"/>
        <v>0</v>
      </c>
      <c r="I57" s="186">
        <f>JUNIO!I57+JUNIO!J57</f>
        <v>0</v>
      </c>
      <c r="J57" s="620">
        <v>0</v>
      </c>
      <c r="K57" s="187">
        <v>0</v>
      </c>
      <c r="L57" s="188">
        <f t="shared" si="32"/>
        <v>0</v>
      </c>
      <c r="M57" s="321">
        <f t="shared" si="33"/>
        <v>0</v>
      </c>
      <c r="N57" s="189">
        <f t="shared" si="29"/>
        <v>0</v>
      </c>
      <c r="O57" s="190">
        <v>0</v>
      </c>
      <c r="P57" s="188">
        <f t="shared" si="30"/>
        <v>0</v>
      </c>
      <c r="Q57" s="432">
        <f t="shared" si="31"/>
        <v>0</v>
      </c>
      <c r="R57" s="432">
        <f t="shared" si="34"/>
        <v>0</v>
      </c>
    </row>
    <row r="58" spans="1:18" ht="15" x14ac:dyDescent="0.25">
      <c r="A58" s="181">
        <v>2021020214</v>
      </c>
      <c r="B58" s="194" t="s">
        <v>67</v>
      </c>
      <c r="C58" s="159">
        <v>0</v>
      </c>
      <c r="D58" s="186"/>
      <c r="E58" s="457"/>
      <c r="F58" s="458"/>
      <c r="G58" s="459"/>
      <c r="H58" s="185">
        <f t="shared" si="27"/>
        <v>0</v>
      </c>
      <c r="I58" s="186">
        <f>JUNIO!I58+JUNIO!J58</f>
        <v>0</v>
      </c>
      <c r="J58" s="620">
        <v>0</v>
      </c>
      <c r="K58" s="187">
        <v>0</v>
      </c>
      <c r="L58" s="188">
        <f t="shared" si="32"/>
        <v>0</v>
      </c>
      <c r="M58" s="321">
        <f t="shared" si="33"/>
        <v>0</v>
      </c>
      <c r="N58" s="189">
        <f t="shared" si="29"/>
        <v>0</v>
      </c>
      <c r="O58" s="190">
        <v>0</v>
      </c>
      <c r="P58" s="188">
        <f t="shared" si="30"/>
        <v>0</v>
      </c>
      <c r="Q58" s="432">
        <f t="shared" si="31"/>
        <v>0</v>
      </c>
      <c r="R58" s="432">
        <f t="shared" si="34"/>
        <v>0</v>
      </c>
    </row>
    <row r="59" spans="1:18" ht="15" x14ac:dyDescent="0.25">
      <c r="A59" s="496" t="s">
        <v>246</v>
      </c>
      <c r="B59" s="194" t="s">
        <v>97</v>
      </c>
      <c r="C59" s="159">
        <v>1300000</v>
      </c>
      <c r="D59" s="186"/>
      <c r="E59" s="457"/>
      <c r="F59" s="458"/>
      <c r="G59" s="459"/>
      <c r="H59" s="185">
        <f t="shared" si="27"/>
        <v>1300000</v>
      </c>
      <c r="I59" s="186">
        <f>JUNIO!I59+JUNIO!J59</f>
        <v>0</v>
      </c>
      <c r="J59" s="620">
        <v>0</v>
      </c>
      <c r="K59" s="187">
        <f>L59/H59</f>
        <v>0</v>
      </c>
      <c r="L59" s="188">
        <f t="shared" si="32"/>
        <v>0</v>
      </c>
      <c r="M59" s="321">
        <f t="shared" si="33"/>
        <v>0</v>
      </c>
      <c r="N59" s="189">
        <f t="shared" si="29"/>
        <v>1300000</v>
      </c>
      <c r="O59" s="190">
        <f>N59/H59</f>
        <v>1</v>
      </c>
      <c r="P59" s="188">
        <f t="shared" si="30"/>
        <v>0</v>
      </c>
      <c r="Q59" s="432">
        <f t="shared" si="31"/>
        <v>0</v>
      </c>
      <c r="R59" s="432">
        <f t="shared" si="34"/>
        <v>0</v>
      </c>
    </row>
    <row r="60" spans="1:18" ht="15" x14ac:dyDescent="0.25">
      <c r="A60" s="199">
        <v>2021020216</v>
      </c>
      <c r="B60" s="194" t="s">
        <v>148</v>
      </c>
      <c r="C60" s="159">
        <v>0</v>
      </c>
      <c r="D60" s="186"/>
      <c r="E60" s="457"/>
      <c r="F60" s="458"/>
      <c r="G60" s="459"/>
      <c r="H60" s="185">
        <f t="shared" si="27"/>
        <v>0</v>
      </c>
      <c r="I60" s="186">
        <f>JUNIO!I60+JUNIO!J60</f>
        <v>0</v>
      </c>
      <c r="J60" s="620">
        <v>0</v>
      </c>
      <c r="K60" s="187">
        <v>0</v>
      </c>
      <c r="L60" s="188">
        <f t="shared" si="32"/>
        <v>0</v>
      </c>
      <c r="M60" s="321">
        <f t="shared" si="33"/>
        <v>0</v>
      </c>
      <c r="N60" s="189">
        <f t="shared" si="29"/>
        <v>0</v>
      </c>
      <c r="O60" s="190">
        <v>0</v>
      </c>
      <c r="P60" s="188">
        <f t="shared" si="30"/>
        <v>0</v>
      </c>
      <c r="Q60" s="432">
        <f t="shared" si="31"/>
        <v>0</v>
      </c>
      <c r="R60" s="432">
        <f t="shared" si="34"/>
        <v>0</v>
      </c>
    </row>
    <row r="61" spans="1:18" ht="27" customHeight="1" x14ac:dyDescent="0.2">
      <c r="A61" s="497">
        <v>20210301</v>
      </c>
      <c r="B61" s="195" t="s">
        <v>95</v>
      </c>
      <c r="C61" s="201">
        <f>C62</f>
        <v>0</v>
      </c>
      <c r="D61" s="206">
        <f>D62</f>
        <v>0</v>
      </c>
      <c r="E61" s="206">
        <f>E62</f>
        <v>0</v>
      </c>
      <c r="F61" s="206">
        <f>F62</f>
        <v>0</v>
      </c>
      <c r="G61" s="206">
        <f>G62</f>
        <v>0</v>
      </c>
      <c r="H61" s="176">
        <f>SUM(H62:H62)</f>
        <v>0</v>
      </c>
      <c r="I61" s="176">
        <f>SUM(I62:I62)</f>
        <v>0</v>
      </c>
      <c r="J61" s="176">
        <f>SUM(J62:J62)</f>
        <v>0</v>
      </c>
      <c r="K61" s="177">
        <f>K62</f>
        <v>1</v>
      </c>
      <c r="L61" s="178">
        <f>L62</f>
        <v>0</v>
      </c>
      <c r="M61" s="191">
        <f t="shared" si="33"/>
        <v>0</v>
      </c>
      <c r="N61" s="191">
        <f>SUM(N62:N62)</f>
        <v>0</v>
      </c>
      <c r="O61" s="179">
        <v>0</v>
      </c>
      <c r="P61" s="176">
        <f>SUM(P62:P62)</f>
        <v>0</v>
      </c>
      <c r="Q61" s="176">
        <f>SUM(Q62:Q62)</f>
        <v>0</v>
      </c>
      <c r="R61" s="176">
        <f>SUM(R62:R62)</f>
        <v>0</v>
      </c>
    </row>
    <row r="62" spans="1:18" ht="15" x14ac:dyDescent="0.25">
      <c r="A62" s="207">
        <v>2021030101</v>
      </c>
      <c r="B62" s="208" t="s">
        <v>96</v>
      </c>
      <c r="C62" s="183"/>
      <c r="D62" s="209">
        <v>0</v>
      </c>
      <c r="E62" s="457"/>
      <c r="F62" s="458"/>
      <c r="G62" s="459"/>
      <c r="H62" s="185">
        <f>C62-D62+E62+F62-G62</f>
        <v>0</v>
      </c>
      <c r="I62" s="186">
        <f>JUNIO!I62+JUNIO!J62</f>
        <v>0</v>
      </c>
      <c r="J62" s="620">
        <v>0</v>
      </c>
      <c r="K62" s="187">
        <v>1</v>
      </c>
      <c r="L62" s="188">
        <f>J62+I62</f>
        <v>0</v>
      </c>
      <c r="M62" s="321">
        <f t="shared" si="33"/>
        <v>0</v>
      </c>
      <c r="N62" s="189">
        <f>H62-L62</f>
        <v>0</v>
      </c>
      <c r="O62" s="190">
        <v>0</v>
      </c>
      <c r="P62" s="188">
        <f>L62</f>
        <v>0</v>
      </c>
      <c r="Q62" s="432">
        <f>M62-P62</f>
        <v>0</v>
      </c>
      <c r="R62" s="188"/>
    </row>
    <row r="63" spans="1:18" s="216" customFormat="1" ht="31.5" customHeight="1" x14ac:dyDescent="0.2">
      <c r="A63" s="210"/>
      <c r="B63" s="211" t="s">
        <v>165</v>
      </c>
      <c r="C63" s="212">
        <f>C27+C22+C44+C18+C39+C8+C61</f>
        <v>1168442348</v>
      </c>
      <c r="D63" s="213">
        <f>D9+D27</f>
        <v>0</v>
      </c>
      <c r="E63" s="213">
        <f>E8+E18+E39+E44+E22+E27+E61</f>
        <v>185847307</v>
      </c>
      <c r="F63" s="213">
        <f>F8+F18+F39+F44++F22+F27+F61</f>
        <v>86991200</v>
      </c>
      <c r="G63" s="213">
        <f>G8+G18+G39+G44+G22+G27+G61</f>
        <v>86991200</v>
      </c>
      <c r="H63" s="213">
        <f>H8+H18+H39+H44+H22+H27+H61</f>
        <v>1354289655</v>
      </c>
      <c r="I63" s="213">
        <f>I8+I18+I39+I44+I22+I27+I61</f>
        <v>557340219.86666667</v>
      </c>
      <c r="J63" s="213">
        <f>J8+J18+J39+J44+J22+J27+J61</f>
        <v>113529408</v>
      </c>
      <c r="K63" s="214">
        <f>L63/H63</f>
        <v>0.49536642725567204</v>
      </c>
      <c r="L63" s="213">
        <f>L8+L18+L39+L44+L22+L27+L61</f>
        <v>670869627.86666667</v>
      </c>
      <c r="M63" s="213">
        <f>M8+M18+M39+M44+M22+M27+M61</f>
        <v>670869627.86666667</v>
      </c>
      <c r="N63" s="213">
        <f>N8+N18+N39+N44+N22+N27+N61</f>
        <v>683420027.13333333</v>
      </c>
      <c r="O63" s="215">
        <f>N63/H63</f>
        <v>0.50463357274432796</v>
      </c>
      <c r="P63" s="213">
        <f>P8+P18+P39+P44+P22+P27+P61</f>
        <v>636869627.86666667</v>
      </c>
      <c r="Q63" s="213">
        <f>Q8+Q18+Q39+Q44+Q22+Q27+Q61</f>
        <v>34000000</v>
      </c>
      <c r="R63" s="213">
        <f>R9+R18+R22+R27+R45+R50+R61</f>
        <v>0</v>
      </c>
    </row>
    <row r="64" spans="1:18" ht="35.25" customHeight="1" x14ac:dyDescent="0.25">
      <c r="A64" s="431" t="s">
        <v>166</v>
      </c>
      <c r="B64" s="682" t="s">
        <v>271</v>
      </c>
      <c r="C64" s="683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4"/>
      <c r="P64" s="217"/>
      <c r="Q64" s="217"/>
      <c r="R64" s="217"/>
    </row>
    <row r="66" spans="4:14" x14ac:dyDescent="0.2">
      <c r="D66" s="218"/>
      <c r="E66" s="218"/>
      <c r="F66" s="218"/>
      <c r="G66" s="218"/>
      <c r="N66" s="218"/>
    </row>
    <row r="67" spans="4:14" x14ac:dyDescent="0.2">
      <c r="G67" s="218"/>
      <c r="I67" s="218"/>
      <c r="J67" s="221"/>
      <c r="N67" s="218"/>
    </row>
    <row r="68" spans="4:14" x14ac:dyDescent="0.2">
      <c r="D68" s="218"/>
      <c r="J68" s="218"/>
      <c r="K68" s="218"/>
      <c r="N68" s="218"/>
    </row>
    <row r="69" spans="4:14" x14ac:dyDescent="0.2">
      <c r="H69" s="218"/>
      <c r="J69" s="218"/>
      <c r="K69" s="609">
        <v>622524</v>
      </c>
      <c r="N69" s="218"/>
    </row>
    <row r="70" spans="4:14" x14ac:dyDescent="0.2">
      <c r="H70" s="218"/>
      <c r="J70" s="218"/>
      <c r="K70" s="609">
        <v>465670</v>
      </c>
    </row>
  </sheetData>
  <mergeCells count="5">
    <mergeCell ref="A1:O1"/>
    <mergeCell ref="A2:O2"/>
    <mergeCell ref="A3:O3"/>
    <mergeCell ref="K5:K6"/>
    <mergeCell ref="B64:O64"/>
  </mergeCells>
  <printOptions horizontalCentered="1" verticalCentered="1"/>
  <pageMargins left="0.23622047244094491" right="0.23622047244094491" top="0.39370078740157483" bottom="0.39370078740157483" header="0" footer="0"/>
  <pageSetup paperSize="5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63"/>
  <sheetViews>
    <sheetView topLeftCell="A13" workbookViewId="0">
      <selection activeCell="E14" sqref="E14"/>
    </sheetView>
  </sheetViews>
  <sheetFormatPr baseColWidth="10" defaultColWidth="11" defaultRowHeight="14.25" x14ac:dyDescent="0.2"/>
  <cols>
    <col min="1" max="1" width="11" style="1" customWidth="1"/>
    <col min="2" max="2" width="38.125" style="1" customWidth="1"/>
    <col min="3" max="3" width="24.125" style="460" bestFit="1" customWidth="1"/>
    <col min="4" max="16384" width="11" style="1"/>
  </cols>
  <sheetData>
    <row r="3" spans="1:3" ht="15.75" x14ac:dyDescent="0.25">
      <c r="A3" s="665" t="s">
        <v>152</v>
      </c>
      <c r="B3" s="665"/>
      <c r="C3" s="665"/>
    </row>
    <row r="4" spans="1:3" ht="15.75" x14ac:dyDescent="0.25">
      <c r="A4" s="665" t="s">
        <v>0</v>
      </c>
      <c r="B4" s="665"/>
      <c r="C4" s="665"/>
    </row>
    <row r="5" spans="1:3" ht="15.75" x14ac:dyDescent="0.25">
      <c r="A5" s="665" t="s">
        <v>262</v>
      </c>
      <c r="B5" s="665"/>
      <c r="C5" s="665"/>
    </row>
    <row r="7" spans="1:3" ht="15" thickBot="1" x14ac:dyDescent="0.25"/>
    <row r="8" spans="1:3" ht="45" x14ac:dyDescent="0.2">
      <c r="A8" s="150" t="s">
        <v>153</v>
      </c>
      <c r="B8" s="151" t="s">
        <v>1</v>
      </c>
      <c r="C8" s="461" t="s">
        <v>154</v>
      </c>
    </row>
    <row r="9" spans="1:3" ht="20.25" x14ac:dyDescent="0.2">
      <c r="A9" s="152">
        <v>2</v>
      </c>
      <c r="B9" s="153" t="s">
        <v>155</v>
      </c>
      <c r="C9" s="462">
        <f>+C11+C20+C24+C29+C46+C51+C62</f>
        <v>1168442348</v>
      </c>
    </row>
    <row r="10" spans="1:3" ht="15" x14ac:dyDescent="0.25">
      <c r="A10" s="154"/>
      <c r="B10" s="155"/>
      <c r="C10" s="463"/>
    </row>
    <row r="11" spans="1:3" ht="15.75" x14ac:dyDescent="0.2">
      <c r="A11" s="157" t="s">
        <v>4</v>
      </c>
      <c r="B11" s="158" t="s">
        <v>5</v>
      </c>
      <c r="C11" s="464">
        <f>SUM(C12:C19)</f>
        <v>699585000</v>
      </c>
    </row>
    <row r="12" spans="1:3" x14ac:dyDescent="0.2">
      <c r="A12" s="181">
        <v>202110101</v>
      </c>
      <c r="B12" s="56" t="s">
        <v>7</v>
      </c>
      <c r="C12" s="465">
        <v>536000000</v>
      </c>
    </row>
    <row r="13" spans="1:3" x14ac:dyDescent="0.2">
      <c r="A13" s="181">
        <v>202110103</v>
      </c>
      <c r="B13" s="56" t="s">
        <v>11</v>
      </c>
      <c r="C13" s="465">
        <v>1320000</v>
      </c>
    </row>
    <row r="14" spans="1:3" x14ac:dyDescent="0.2">
      <c r="A14" s="181">
        <v>202110104</v>
      </c>
      <c r="B14" s="56" t="s">
        <v>13</v>
      </c>
      <c r="C14" s="465">
        <v>848000</v>
      </c>
    </row>
    <row r="15" spans="1:3" x14ac:dyDescent="0.2">
      <c r="A15" s="181">
        <v>202110105</v>
      </c>
      <c r="B15" s="56" t="s">
        <v>15</v>
      </c>
      <c r="C15" s="465">
        <v>16300000</v>
      </c>
    </row>
    <row r="16" spans="1:3" x14ac:dyDescent="0.2">
      <c r="A16" s="181">
        <v>202110106</v>
      </c>
      <c r="B16" s="56" t="s">
        <v>17</v>
      </c>
      <c r="C16" s="465">
        <v>24000000</v>
      </c>
    </row>
    <row r="17" spans="1:3" x14ac:dyDescent="0.2">
      <c r="A17" s="181">
        <v>202110107</v>
      </c>
      <c r="B17" s="56" t="s">
        <v>19</v>
      </c>
      <c r="C17" s="465">
        <v>24787000</v>
      </c>
    </row>
    <row r="18" spans="1:3" x14ac:dyDescent="0.2">
      <c r="A18" s="181">
        <v>202110109</v>
      </c>
      <c r="B18" s="56" t="s">
        <v>20</v>
      </c>
      <c r="C18" s="465">
        <v>41330000</v>
      </c>
    </row>
    <row r="19" spans="1:3" x14ac:dyDescent="0.2">
      <c r="A19" s="181">
        <v>202110108</v>
      </c>
      <c r="B19" s="56" t="s">
        <v>21</v>
      </c>
      <c r="C19" s="465">
        <v>55000000</v>
      </c>
    </row>
    <row r="20" spans="1:3" ht="15.75" x14ac:dyDescent="0.2">
      <c r="A20" s="157" t="s">
        <v>22</v>
      </c>
      <c r="B20" s="158" t="s">
        <v>23</v>
      </c>
      <c r="C20" s="466">
        <f>SUM(C21:C23)</f>
        <v>77000000</v>
      </c>
    </row>
    <row r="21" spans="1:3" x14ac:dyDescent="0.2">
      <c r="A21" s="181">
        <v>202110201</v>
      </c>
      <c r="B21" s="57" t="s">
        <v>25</v>
      </c>
      <c r="C21" s="465">
        <v>60000000</v>
      </c>
    </row>
    <row r="22" spans="1:3" x14ac:dyDescent="0.2">
      <c r="A22" s="181">
        <v>202110202</v>
      </c>
      <c r="B22" s="56" t="s">
        <v>27</v>
      </c>
      <c r="C22" s="465">
        <v>17000000</v>
      </c>
    </row>
    <row r="23" spans="1:3" x14ac:dyDescent="0.2">
      <c r="A23" s="181">
        <v>202110203</v>
      </c>
      <c r="B23" s="58" t="s">
        <v>29</v>
      </c>
      <c r="C23" s="465">
        <v>0</v>
      </c>
    </row>
    <row r="24" spans="1:3" ht="15.75" x14ac:dyDescent="0.2">
      <c r="A24" s="157" t="s">
        <v>30</v>
      </c>
      <c r="B24" s="160" t="s">
        <v>31</v>
      </c>
      <c r="C24" s="466">
        <f>SUM(C25:C28)</f>
        <v>27300000</v>
      </c>
    </row>
    <row r="25" spans="1:3" x14ac:dyDescent="0.2">
      <c r="A25" s="181">
        <v>202110301</v>
      </c>
      <c r="B25" s="58" t="s">
        <v>33</v>
      </c>
      <c r="C25" s="465">
        <v>6000000</v>
      </c>
    </row>
    <row r="26" spans="1:3" x14ac:dyDescent="0.2">
      <c r="A26" s="181">
        <v>202110302</v>
      </c>
      <c r="B26" s="59" t="s">
        <v>35</v>
      </c>
      <c r="C26" s="465">
        <v>20000000</v>
      </c>
    </row>
    <row r="27" spans="1:3" x14ac:dyDescent="0.2">
      <c r="A27" s="181">
        <v>202110304</v>
      </c>
      <c r="B27" s="58" t="s">
        <v>37</v>
      </c>
      <c r="C27" s="465">
        <v>1300000</v>
      </c>
    </row>
    <row r="28" spans="1:3" x14ac:dyDescent="0.2">
      <c r="A28" s="181">
        <v>202110305</v>
      </c>
      <c r="B28" s="58" t="s">
        <v>39</v>
      </c>
      <c r="C28" s="465">
        <v>0</v>
      </c>
    </row>
    <row r="29" spans="1:3" ht="15.75" x14ac:dyDescent="0.2">
      <c r="A29" s="157" t="s">
        <v>40</v>
      </c>
      <c r="B29" s="160" t="s">
        <v>41</v>
      </c>
      <c r="C29" s="467">
        <f>SUM(C30:C45)</f>
        <v>158227607</v>
      </c>
    </row>
    <row r="30" spans="1:3" x14ac:dyDescent="0.2">
      <c r="A30" s="181">
        <v>202120201</v>
      </c>
      <c r="B30" s="58" t="s">
        <v>43</v>
      </c>
      <c r="C30" s="465">
        <v>9400000</v>
      </c>
    </row>
    <row r="31" spans="1:3" x14ac:dyDescent="0.2">
      <c r="A31" s="181">
        <v>202120202</v>
      </c>
      <c r="B31" s="58" t="s">
        <v>44</v>
      </c>
      <c r="C31" s="465">
        <v>73027607</v>
      </c>
    </row>
    <row r="32" spans="1:3" x14ac:dyDescent="0.2">
      <c r="A32" s="181">
        <v>202120203</v>
      </c>
      <c r="B32" s="58" t="s">
        <v>46</v>
      </c>
      <c r="C32" s="465">
        <v>2000000</v>
      </c>
    </row>
    <row r="33" spans="1:3" x14ac:dyDescent="0.2">
      <c r="A33" s="181">
        <v>202120204</v>
      </c>
      <c r="B33" s="58" t="s">
        <v>48</v>
      </c>
      <c r="C33" s="465">
        <f>750000*12</f>
        <v>9000000</v>
      </c>
    </row>
    <row r="34" spans="1:3" x14ac:dyDescent="0.2">
      <c r="A34" s="181">
        <v>202120205</v>
      </c>
      <c r="B34" s="58" t="s">
        <v>50</v>
      </c>
      <c r="C34" s="465">
        <v>4500000</v>
      </c>
    </row>
    <row r="35" spans="1:3" x14ac:dyDescent="0.2">
      <c r="A35" s="181">
        <v>202120206</v>
      </c>
      <c r="B35" s="58" t="s">
        <v>52</v>
      </c>
      <c r="C35" s="465">
        <v>2500000</v>
      </c>
    </row>
    <row r="36" spans="1:3" x14ac:dyDescent="0.2">
      <c r="A36" s="181">
        <v>202120207</v>
      </c>
      <c r="B36" s="59" t="s">
        <v>54</v>
      </c>
      <c r="C36" s="465">
        <v>1500000</v>
      </c>
    </row>
    <row r="37" spans="1:3" x14ac:dyDescent="0.2">
      <c r="A37" s="181">
        <v>202120208</v>
      </c>
      <c r="B37" s="58" t="s">
        <v>56</v>
      </c>
      <c r="C37" s="465">
        <v>0</v>
      </c>
    </row>
    <row r="38" spans="1:3" x14ac:dyDescent="0.2">
      <c r="A38" s="181">
        <v>202120209</v>
      </c>
      <c r="B38" s="58" t="s">
        <v>58</v>
      </c>
      <c r="C38" s="465">
        <v>5000000</v>
      </c>
    </row>
    <row r="39" spans="1:3" x14ac:dyDescent="0.2">
      <c r="A39" s="181">
        <v>202120210</v>
      </c>
      <c r="B39" s="59" t="s">
        <v>60</v>
      </c>
      <c r="C39" s="465">
        <v>24000000</v>
      </c>
    </row>
    <row r="40" spans="1:3" x14ac:dyDescent="0.2">
      <c r="A40" s="181">
        <v>202120211</v>
      </c>
      <c r="B40" s="58" t="s">
        <v>62</v>
      </c>
      <c r="C40" s="465">
        <v>4000000</v>
      </c>
    </row>
    <row r="41" spans="1:3" x14ac:dyDescent="0.2">
      <c r="A41" s="181">
        <v>202120212</v>
      </c>
      <c r="B41" s="58" t="s">
        <v>64</v>
      </c>
      <c r="C41" s="465">
        <v>22000000</v>
      </c>
    </row>
    <row r="42" spans="1:3" x14ac:dyDescent="0.2">
      <c r="A42" s="181">
        <v>202120213</v>
      </c>
      <c r="B42" s="58" t="s">
        <v>65</v>
      </c>
      <c r="C42" s="465">
        <v>0</v>
      </c>
    </row>
    <row r="43" spans="1:3" x14ac:dyDescent="0.2">
      <c r="A43" s="181">
        <v>202120214</v>
      </c>
      <c r="B43" s="58" t="s">
        <v>67</v>
      </c>
      <c r="C43" s="465">
        <v>0</v>
      </c>
    </row>
    <row r="44" spans="1:3" x14ac:dyDescent="0.2">
      <c r="A44" s="199">
        <v>202120215</v>
      </c>
      <c r="B44" s="58" t="s">
        <v>97</v>
      </c>
      <c r="C44" s="465">
        <v>1300000</v>
      </c>
    </row>
    <row r="45" spans="1:3" x14ac:dyDescent="0.2">
      <c r="A45" s="199">
        <v>202120216</v>
      </c>
      <c r="B45" s="161" t="s">
        <v>148</v>
      </c>
      <c r="C45" s="465">
        <v>0</v>
      </c>
    </row>
    <row r="46" spans="1:3" ht="35.25" customHeight="1" x14ac:dyDescent="0.2">
      <c r="A46" s="157" t="s">
        <v>68</v>
      </c>
      <c r="B46" s="162" t="s">
        <v>69</v>
      </c>
      <c r="C46" s="468">
        <f>SUM(C47:C50)</f>
        <v>73229741</v>
      </c>
    </row>
    <row r="47" spans="1:3" x14ac:dyDescent="0.2">
      <c r="A47" s="181">
        <v>202110301</v>
      </c>
      <c r="B47" s="58" t="s">
        <v>71</v>
      </c>
      <c r="C47" s="465">
        <v>6000083</v>
      </c>
    </row>
    <row r="48" spans="1:3" x14ac:dyDescent="0.2">
      <c r="A48" s="181">
        <v>202110302</v>
      </c>
      <c r="B48" s="58" t="s">
        <v>73</v>
      </c>
      <c r="C48" s="465">
        <v>46429658</v>
      </c>
    </row>
    <row r="49" spans="1:3" x14ac:dyDescent="0.2">
      <c r="A49" s="181">
        <v>202110304</v>
      </c>
      <c r="B49" s="58" t="s">
        <v>74</v>
      </c>
      <c r="C49" s="465">
        <v>14000000</v>
      </c>
    </row>
    <row r="50" spans="1:3" x14ac:dyDescent="0.2">
      <c r="A50" s="181">
        <v>202110305</v>
      </c>
      <c r="B50" s="58" t="s">
        <v>75</v>
      </c>
      <c r="C50" s="465">
        <v>6800000</v>
      </c>
    </row>
    <row r="51" spans="1:3" ht="15.75" x14ac:dyDescent="0.2">
      <c r="A51" s="157">
        <v>20201104</v>
      </c>
      <c r="B51" s="163" t="s">
        <v>76</v>
      </c>
      <c r="C51" s="469">
        <f>SUM(C52:C61)</f>
        <v>133100000</v>
      </c>
    </row>
    <row r="52" spans="1:3" x14ac:dyDescent="0.2">
      <c r="A52" s="204">
        <v>202110401</v>
      </c>
      <c r="B52" s="58" t="s">
        <v>78</v>
      </c>
      <c r="C52" s="465">
        <v>12000000</v>
      </c>
    </row>
    <row r="53" spans="1:3" x14ac:dyDescent="0.2">
      <c r="A53" s="181">
        <v>202110402</v>
      </c>
      <c r="B53" s="58" t="s">
        <v>73</v>
      </c>
      <c r="C53" s="465">
        <v>0</v>
      </c>
    </row>
    <row r="54" spans="1:3" x14ac:dyDescent="0.2">
      <c r="A54" s="181">
        <v>202110403</v>
      </c>
      <c r="B54" s="58" t="s">
        <v>81</v>
      </c>
      <c r="C54" s="465">
        <v>3900000</v>
      </c>
    </row>
    <row r="55" spans="1:3" x14ac:dyDescent="0.2">
      <c r="A55" s="181">
        <v>202110404</v>
      </c>
      <c r="B55" s="58" t="s">
        <v>74</v>
      </c>
      <c r="C55" s="465">
        <v>52000000</v>
      </c>
    </row>
    <row r="56" spans="1:3" x14ac:dyDescent="0.2">
      <c r="A56" s="181">
        <v>202110405</v>
      </c>
      <c r="B56" s="58" t="s">
        <v>84</v>
      </c>
      <c r="C56" s="465">
        <v>27000000</v>
      </c>
    </row>
    <row r="57" spans="1:3" x14ac:dyDescent="0.2">
      <c r="A57" s="181">
        <v>202110406</v>
      </c>
      <c r="B57" s="58" t="s">
        <v>86</v>
      </c>
      <c r="C57" s="465">
        <v>23000000</v>
      </c>
    </row>
    <row r="58" spans="1:3" x14ac:dyDescent="0.2">
      <c r="A58" s="181">
        <v>202110407</v>
      </c>
      <c r="B58" s="58" t="s">
        <v>88</v>
      </c>
      <c r="C58" s="465">
        <v>4000000</v>
      </c>
    </row>
    <row r="59" spans="1:3" x14ac:dyDescent="0.2">
      <c r="A59" s="181">
        <v>202110408</v>
      </c>
      <c r="B59" s="58" t="s">
        <v>90</v>
      </c>
      <c r="C59" s="465">
        <v>4000000</v>
      </c>
    </row>
    <row r="60" spans="1:3" x14ac:dyDescent="0.2">
      <c r="A60" s="181">
        <v>202110409</v>
      </c>
      <c r="B60" s="58" t="s">
        <v>92</v>
      </c>
      <c r="C60" s="465">
        <v>7200000</v>
      </c>
    </row>
    <row r="61" spans="1:3" x14ac:dyDescent="0.2">
      <c r="A61" s="181">
        <v>202110410</v>
      </c>
      <c r="B61" s="58" t="s">
        <v>94</v>
      </c>
      <c r="C61" s="465">
        <v>0</v>
      </c>
    </row>
    <row r="62" spans="1:3" ht="15.75" x14ac:dyDescent="0.2">
      <c r="A62" s="164">
        <v>20201203</v>
      </c>
      <c r="B62" s="160" t="s">
        <v>95</v>
      </c>
      <c r="C62" s="467">
        <f>SUM(C63:C63)</f>
        <v>0</v>
      </c>
    </row>
    <row r="63" spans="1:3" ht="15" thickBot="1" x14ac:dyDescent="0.25">
      <c r="A63" s="165">
        <v>2020130101</v>
      </c>
      <c r="B63" s="60" t="s">
        <v>96</v>
      </c>
      <c r="C63" s="470">
        <v>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1"/>
  <sheetViews>
    <sheetView zoomScale="84" zoomScaleNormal="84" zoomScaleSheetLayoutView="30" workbookViewId="0">
      <selection activeCell="C8" sqref="C8"/>
    </sheetView>
  </sheetViews>
  <sheetFormatPr baseColWidth="10" defaultRowHeight="12.75" x14ac:dyDescent="0.2"/>
  <cols>
    <col min="1" max="1" width="12.625" style="109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.875" style="13" bestFit="1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666" t="s">
        <v>0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8"/>
      <c r="U2" s="12"/>
    </row>
    <row r="3" spans="1:22" x14ac:dyDescent="0.2">
      <c r="B3" s="666" t="s">
        <v>179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8"/>
      <c r="U3" s="12"/>
    </row>
    <row r="4" spans="1:22" ht="13.5" thickBot="1" x14ac:dyDescent="0.25">
      <c r="B4" s="669" t="s">
        <v>98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1"/>
      <c r="U4" s="12"/>
    </row>
    <row r="5" spans="1:22" x14ac:dyDescent="0.2">
      <c r="A5" s="110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0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1168442348</v>
      </c>
      <c r="D8" s="20"/>
      <c r="E8" s="21"/>
      <c r="F8" s="21"/>
      <c r="G8" s="24">
        <f>E8-F8+C8</f>
        <v>1168442348</v>
      </c>
      <c r="H8" s="21">
        <v>178442348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1168442348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0"/>
      <c r="B13" s="90" t="s">
        <v>318</v>
      </c>
      <c r="C13" s="91">
        <f>+C8+C9+C10+C11</f>
        <v>1168442348</v>
      </c>
      <c r="D13" s="92"/>
      <c r="E13" s="93"/>
      <c r="F13" s="93">
        <v>0</v>
      </c>
      <c r="G13" s="94">
        <f>G12+G11+G10+G9+G8</f>
        <v>1168442348</v>
      </c>
      <c r="H13" s="93">
        <f>H8+H11+H12</f>
        <v>178442348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1168442348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0"/>
      <c r="B16" s="90" t="s">
        <v>126</v>
      </c>
      <c r="C16" s="91">
        <f>+C13</f>
        <v>1168442348</v>
      </c>
      <c r="D16" s="92"/>
      <c r="E16" s="96">
        <f>E8+E9+E10+E11+E12</f>
        <v>0</v>
      </c>
      <c r="F16" s="93">
        <v>0</v>
      </c>
      <c r="G16" s="97">
        <f>+G13</f>
        <v>1168442348</v>
      </c>
      <c r="H16" s="96">
        <f>H8+H11+H12</f>
        <v>178442348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1168442348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169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1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1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2" t="s">
        <v>4</v>
      </c>
      <c r="B23" s="61" t="s">
        <v>5</v>
      </c>
      <c r="C23" s="62">
        <f t="shared" ref="C23:T23" si="6">SUM(C24:C31)</f>
        <v>699585000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699585000</v>
      </c>
      <c r="H23" s="64">
        <f t="shared" si="6"/>
        <v>48743666.666666664</v>
      </c>
      <c r="I23" s="64">
        <f t="shared" si="6"/>
        <v>47747666.666666664</v>
      </c>
      <c r="J23" s="64">
        <f t="shared" si="6"/>
        <v>44847666.666666664</v>
      </c>
      <c r="K23" s="64">
        <f t="shared" si="6"/>
        <v>44847666.666666664</v>
      </c>
      <c r="L23" s="64">
        <f t="shared" si="6"/>
        <v>45997666.666666664</v>
      </c>
      <c r="M23" s="65">
        <f t="shared" si="6"/>
        <v>55425402.666666664</v>
      </c>
      <c r="N23" s="64">
        <f t="shared" si="6"/>
        <v>76747666.666666657</v>
      </c>
      <c r="O23" s="64">
        <f t="shared" si="6"/>
        <v>50397666.666666664</v>
      </c>
      <c r="P23" s="64">
        <f t="shared" si="6"/>
        <v>44847666.666666664</v>
      </c>
      <c r="Q23" s="64">
        <f t="shared" si="6"/>
        <v>56034666.666666664</v>
      </c>
      <c r="R23" s="64">
        <f t="shared" si="6"/>
        <v>51747666.666666664</v>
      </c>
      <c r="S23" s="64">
        <f t="shared" si="6"/>
        <v>132199930.66666666</v>
      </c>
      <c r="T23" s="62">
        <f t="shared" si="6"/>
        <v>699585000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159">
        <v>536000000</v>
      </c>
      <c r="D24" s="8"/>
      <c r="E24" s="9"/>
      <c r="F24" s="38"/>
      <c r="G24" s="39">
        <f>ROUND((C24+D24+E24-F24),1)</f>
        <v>536000000</v>
      </c>
      <c r="H24" s="40">
        <f>G24/12</f>
        <v>44666666.666666664</v>
      </c>
      <c r="I24" s="40">
        <v>44666666.666666664</v>
      </c>
      <c r="J24" s="40">
        <v>44666666.666666664</v>
      </c>
      <c r="K24" s="40">
        <v>44666666.666666664</v>
      </c>
      <c r="L24" s="40">
        <v>44666666.666666664</v>
      </c>
      <c r="M24" s="40">
        <v>44666666.666666664</v>
      </c>
      <c r="N24" s="40">
        <v>44666666.666666664</v>
      </c>
      <c r="O24" s="40">
        <v>44666666.666666664</v>
      </c>
      <c r="P24" s="40">
        <v>44666666.666666664</v>
      </c>
      <c r="Q24" s="40">
        <v>44666666.666666664</v>
      </c>
      <c r="R24" s="40">
        <v>44666666.666666664</v>
      </c>
      <c r="S24" s="40">
        <v>44666666.666666664</v>
      </c>
      <c r="T24" s="42">
        <f t="shared" ref="T24:T35" si="7">SUM(H24:S24)</f>
        <v>536000000.00000006</v>
      </c>
      <c r="U24" s="26">
        <f t="shared" ref="U24:U77" si="8">G24-T24</f>
        <v>0</v>
      </c>
    </row>
    <row r="25" spans="1:22" ht="14.25" x14ac:dyDescent="0.2">
      <c r="A25" s="100" t="s">
        <v>10</v>
      </c>
      <c r="B25" s="56" t="s">
        <v>11</v>
      </c>
      <c r="C25" s="159">
        <v>1320000</v>
      </c>
      <c r="D25" s="8"/>
      <c r="E25" s="9"/>
      <c r="F25" s="10"/>
      <c r="G25" s="39">
        <f t="shared" ref="G25:G31" si="9">ROUND((C25+D25+E25-F25),1)</f>
        <v>1320000</v>
      </c>
      <c r="H25" s="40">
        <v>110000</v>
      </c>
      <c r="I25" s="40">
        <v>110000</v>
      </c>
      <c r="J25" s="40">
        <v>110000</v>
      </c>
      <c r="K25" s="40">
        <v>110000</v>
      </c>
      <c r="L25" s="40">
        <v>110000</v>
      </c>
      <c r="M25" s="40">
        <v>110000</v>
      </c>
      <c r="N25" s="40">
        <v>110000</v>
      </c>
      <c r="O25" s="40">
        <v>110000</v>
      </c>
      <c r="P25" s="40">
        <v>110000</v>
      </c>
      <c r="Q25" s="40">
        <v>110000</v>
      </c>
      <c r="R25" s="40">
        <v>110000</v>
      </c>
      <c r="S25" s="40">
        <v>110000</v>
      </c>
      <c r="T25" s="42">
        <f t="shared" si="7"/>
        <v>1320000</v>
      </c>
      <c r="U25" s="26">
        <f t="shared" si="8"/>
        <v>0</v>
      </c>
    </row>
    <row r="26" spans="1:22" ht="14.25" x14ac:dyDescent="0.2">
      <c r="A26" s="100">
        <v>2020110104</v>
      </c>
      <c r="B26" s="56" t="s">
        <v>13</v>
      </c>
      <c r="C26" s="159">
        <v>848000</v>
      </c>
      <c r="D26" s="8"/>
      <c r="E26" s="9"/>
      <c r="F26" s="10"/>
      <c r="G26" s="39">
        <f t="shared" si="9"/>
        <v>848000</v>
      </c>
      <c r="H26" s="40">
        <v>67000</v>
      </c>
      <c r="I26" s="40">
        <v>71000</v>
      </c>
      <c r="J26" s="40">
        <v>71000</v>
      </c>
      <c r="K26" s="40">
        <v>71000</v>
      </c>
      <c r="L26" s="40">
        <v>71000</v>
      </c>
      <c r="M26" s="40">
        <v>71000</v>
      </c>
      <c r="N26" s="40">
        <v>71000</v>
      </c>
      <c r="O26" s="40">
        <v>71000</v>
      </c>
      <c r="P26" s="40">
        <v>71000</v>
      </c>
      <c r="Q26" s="40">
        <v>71000</v>
      </c>
      <c r="R26" s="40">
        <v>71000</v>
      </c>
      <c r="S26" s="40">
        <v>71000</v>
      </c>
      <c r="T26" s="42">
        <f t="shared" si="7"/>
        <v>848000</v>
      </c>
      <c r="U26" s="26">
        <f t="shared" si="8"/>
        <v>0</v>
      </c>
    </row>
    <row r="27" spans="1:22" ht="14.25" x14ac:dyDescent="0.2">
      <c r="A27" s="100" t="s">
        <v>14</v>
      </c>
      <c r="B27" s="56" t="s">
        <v>15</v>
      </c>
      <c r="C27" s="159">
        <v>16300000</v>
      </c>
      <c r="D27" s="8"/>
      <c r="E27" s="9"/>
      <c r="F27" s="10"/>
      <c r="G27" s="39">
        <f t="shared" si="9"/>
        <v>16300000</v>
      </c>
      <c r="H27" s="40">
        <v>0</v>
      </c>
      <c r="I27" s="4">
        <v>2900000</v>
      </c>
      <c r="J27" s="4">
        <v>0</v>
      </c>
      <c r="K27" s="4"/>
      <c r="L27" s="4">
        <v>1150000</v>
      </c>
      <c r="M27" s="4">
        <v>2300000</v>
      </c>
      <c r="N27" s="4">
        <v>4300000</v>
      </c>
      <c r="O27" s="4">
        <v>3600000</v>
      </c>
      <c r="P27" s="4">
        <v>0</v>
      </c>
      <c r="Q27" s="4">
        <v>0</v>
      </c>
      <c r="R27" s="41"/>
      <c r="S27" s="4">
        <v>2050000</v>
      </c>
      <c r="T27" s="42">
        <f t="shared" si="7"/>
        <v>16300000</v>
      </c>
      <c r="U27" s="26">
        <f t="shared" si="8"/>
        <v>0</v>
      </c>
    </row>
    <row r="28" spans="1:22" ht="14.25" x14ac:dyDescent="0.2">
      <c r="A28" s="100" t="s">
        <v>16</v>
      </c>
      <c r="B28" s="56" t="s">
        <v>17</v>
      </c>
      <c r="C28" s="159">
        <v>24000000</v>
      </c>
      <c r="D28" s="8"/>
      <c r="E28" s="11"/>
      <c r="F28" s="10"/>
      <c r="G28" s="39">
        <f t="shared" si="9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7"/>
        <v>24000000</v>
      </c>
      <c r="U28" s="26">
        <f t="shared" si="8"/>
        <v>0</v>
      </c>
    </row>
    <row r="29" spans="1:22" ht="14.25" x14ac:dyDescent="0.2">
      <c r="A29" s="100" t="s">
        <v>18</v>
      </c>
      <c r="B29" s="56" t="s">
        <v>19</v>
      </c>
      <c r="C29" s="159">
        <v>24787000</v>
      </c>
      <c r="D29" s="8"/>
      <c r="E29" s="9"/>
      <c r="F29" s="43"/>
      <c r="G29" s="39">
        <f t="shared" si="9"/>
        <v>24787000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1987000</v>
      </c>
      <c r="R29" s="44">
        <v>2600000</v>
      </c>
      <c r="S29" s="44">
        <v>14000000</v>
      </c>
      <c r="T29" s="42">
        <f t="shared" si="7"/>
        <v>24787000</v>
      </c>
      <c r="U29" s="26">
        <f t="shared" si="8"/>
        <v>0</v>
      </c>
    </row>
    <row r="30" spans="1:22" ht="14.25" x14ac:dyDescent="0.2">
      <c r="A30" s="100">
        <v>2020110109</v>
      </c>
      <c r="B30" s="56" t="s">
        <v>20</v>
      </c>
      <c r="C30" s="159">
        <v>41330000</v>
      </c>
      <c r="D30" s="8"/>
      <c r="E30" s="9"/>
      <c r="F30" s="43"/>
      <c r="G30" s="39">
        <f t="shared" si="9"/>
        <v>41330000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17302264</v>
      </c>
      <c r="T30" s="42">
        <f>SUM(H30:S30)</f>
        <v>41330000</v>
      </c>
      <c r="U30" s="26">
        <f t="shared" si="8"/>
        <v>0</v>
      </c>
    </row>
    <row r="31" spans="1:22" ht="15" thickBot="1" x14ac:dyDescent="0.25">
      <c r="A31" s="100">
        <v>2020110108</v>
      </c>
      <c r="B31" s="56" t="s">
        <v>21</v>
      </c>
      <c r="C31" s="159">
        <v>55000000</v>
      </c>
      <c r="D31" s="8"/>
      <c r="E31" s="9"/>
      <c r="F31" s="10"/>
      <c r="G31" s="39">
        <f t="shared" si="9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7"/>
        <v>55000000</v>
      </c>
      <c r="U31" s="26">
        <f t="shared" si="8"/>
        <v>0</v>
      </c>
    </row>
    <row r="32" spans="1:22" x14ac:dyDescent="0.2">
      <c r="A32" s="113">
        <v>20201102</v>
      </c>
      <c r="B32" s="61" t="s">
        <v>130</v>
      </c>
      <c r="C32" s="61">
        <f>SUM(C33:C35)</f>
        <v>77000000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8">
        <f>SUM(G33:G35)</f>
        <v>77000000</v>
      </c>
      <c r="H32" s="108">
        <f t="shared" ref="H32:T32" si="10">SUM(H33:H35)</f>
        <v>0</v>
      </c>
      <c r="I32" s="108">
        <f t="shared" si="10"/>
        <v>14400000</v>
      </c>
      <c r="J32" s="108">
        <f t="shared" si="10"/>
        <v>9400000</v>
      </c>
      <c r="K32" s="108">
        <f t="shared" si="10"/>
        <v>9400000</v>
      </c>
      <c r="L32" s="108">
        <f t="shared" si="10"/>
        <v>8800000</v>
      </c>
      <c r="M32" s="108">
        <f t="shared" si="10"/>
        <v>5000000</v>
      </c>
      <c r="N32" s="108">
        <f t="shared" si="10"/>
        <v>5000000</v>
      </c>
      <c r="O32" s="108">
        <f t="shared" si="10"/>
        <v>5000000</v>
      </c>
      <c r="P32" s="108">
        <f t="shared" si="10"/>
        <v>5000000</v>
      </c>
      <c r="Q32" s="108">
        <f t="shared" si="10"/>
        <v>5000000</v>
      </c>
      <c r="R32" s="108">
        <f t="shared" si="10"/>
        <v>5000000</v>
      </c>
      <c r="S32" s="108">
        <f t="shared" si="10"/>
        <v>5000000</v>
      </c>
      <c r="T32" s="108">
        <f t="shared" si="10"/>
        <v>77000000</v>
      </c>
      <c r="U32" s="26">
        <v>0</v>
      </c>
    </row>
    <row r="33" spans="1:21" ht="14.25" x14ac:dyDescent="0.2">
      <c r="A33" s="100" t="s">
        <v>24</v>
      </c>
      <c r="B33" s="57" t="s">
        <v>25</v>
      </c>
      <c r="C33" s="159">
        <v>60000000</v>
      </c>
      <c r="D33" s="8"/>
      <c r="E33" s="11"/>
      <c r="F33" s="10"/>
      <c r="G33" s="39">
        <f>C33+D33+E33-F33</f>
        <v>60000000</v>
      </c>
      <c r="H33" s="41"/>
      <c r="I33" s="40">
        <v>10000000</v>
      </c>
      <c r="J33" s="40">
        <v>5000000</v>
      </c>
      <c r="K33" s="40">
        <v>5000000</v>
      </c>
      <c r="L33" s="40">
        <v>5000000</v>
      </c>
      <c r="M33" s="40">
        <v>5000000</v>
      </c>
      <c r="N33" s="40">
        <v>5000000</v>
      </c>
      <c r="O33" s="40">
        <v>5000000</v>
      </c>
      <c r="P33" s="40">
        <v>5000000</v>
      </c>
      <c r="Q33" s="40">
        <v>5000000</v>
      </c>
      <c r="R33" s="40">
        <v>5000000</v>
      </c>
      <c r="S33" s="40">
        <v>5000000</v>
      </c>
      <c r="T33" s="42">
        <f t="shared" si="7"/>
        <v>60000000</v>
      </c>
      <c r="U33" s="26">
        <f t="shared" si="8"/>
        <v>0</v>
      </c>
    </row>
    <row r="34" spans="1:21" ht="14.25" x14ac:dyDescent="0.2">
      <c r="A34" s="100" t="s">
        <v>26</v>
      </c>
      <c r="B34" s="56" t="s">
        <v>27</v>
      </c>
      <c r="C34" s="159">
        <v>17000000</v>
      </c>
      <c r="D34" s="8"/>
      <c r="E34" s="9"/>
      <c r="F34" s="10"/>
      <c r="G34" s="39">
        <f>C34+D34+E34-F34</f>
        <v>17000000</v>
      </c>
      <c r="H34" s="39"/>
      <c r="I34" s="39">
        <v>4400000</v>
      </c>
      <c r="J34" s="39">
        <v>4400000</v>
      </c>
      <c r="K34" s="39">
        <v>4400000</v>
      </c>
      <c r="L34" s="39">
        <v>3800000</v>
      </c>
      <c r="M34" s="39"/>
      <c r="N34" s="39"/>
      <c r="O34" s="39"/>
      <c r="P34" s="39"/>
      <c r="Q34" s="39"/>
      <c r="R34" s="39"/>
      <c r="S34" s="39"/>
      <c r="T34" s="42">
        <f t="shared" si="7"/>
        <v>17000000</v>
      </c>
      <c r="U34" s="26">
        <f>G34-T34</f>
        <v>0</v>
      </c>
    </row>
    <row r="35" spans="1:21" ht="14.25" x14ac:dyDescent="0.2">
      <c r="A35" s="100" t="s">
        <v>28</v>
      </c>
      <c r="B35" s="58" t="s">
        <v>29</v>
      </c>
      <c r="C35" s="159">
        <v>0</v>
      </c>
      <c r="D35" s="8"/>
      <c r="E35" s="9"/>
      <c r="F35" s="10"/>
      <c r="G35" s="39">
        <f>C35+D35+E35-F35</f>
        <v>0</v>
      </c>
      <c r="H35" s="39">
        <f t="shared" ref="H35:S35" si="11">D35+E35+F35-G35</f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/>
      <c r="P35" s="39"/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7"/>
        <v>0</v>
      </c>
      <c r="U35" s="26">
        <f t="shared" si="8"/>
        <v>0</v>
      </c>
    </row>
    <row r="36" spans="1:21" ht="24" customHeight="1" thickBot="1" x14ac:dyDescent="0.25">
      <c r="A36" s="111"/>
      <c r="B36" s="66" t="s">
        <v>131</v>
      </c>
      <c r="C36" s="67">
        <f>C37+C42</f>
        <v>185527607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185527607</v>
      </c>
      <c r="H36" s="64">
        <f t="shared" ref="H36:S36" si="12">H37+H42</f>
        <v>10227334</v>
      </c>
      <c r="I36" s="64">
        <f t="shared" si="12"/>
        <v>43672334</v>
      </c>
      <c r="J36" s="64">
        <f t="shared" si="12"/>
        <v>13272334</v>
      </c>
      <c r="K36" s="64">
        <f t="shared" si="12"/>
        <v>10939334</v>
      </c>
      <c r="L36" s="64">
        <f t="shared" si="12"/>
        <v>32805434</v>
      </c>
      <c r="M36" s="64">
        <f t="shared" si="12"/>
        <v>13139234</v>
      </c>
      <c r="N36" s="64">
        <f t="shared" si="12"/>
        <v>14032334</v>
      </c>
      <c r="O36" s="64">
        <f t="shared" si="12"/>
        <v>6472334</v>
      </c>
      <c r="P36" s="64">
        <f t="shared" si="12"/>
        <v>7964941</v>
      </c>
      <c r="Q36" s="64">
        <f t="shared" si="12"/>
        <v>8547334</v>
      </c>
      <c r="R36" s="64">
        <f t="shared" si="12"/>
        <v>10327334</v>
      </c>
      <c r="S36" s="64">
        <f t="shared" si="12"/>
        <v>14127326</v>
      </c>
      <c r="T36" s="67">
        <f>T42+T37</f>
        <v>185527607</v>
      </c>
      <c r="U36" s="26">
        <f t="shared" si="8"/>
        <v>0</v>
      </c>
    </row>
    <row r="37" spans="1:21" x14ac:dyDescent="0.2">
      <c r="A37" s="113">
        <v>20201201</v>
      </c>
      <c r="B37" s="61" t="s">
        <v>132</v>
      </c>
      <c r="C37" s="108">
        <f>SUM(C38:C41)</f>
        <v>27300000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8">
        <f>SUM(G38:G41)</f>
        <v>27300000</v>
      </c>
      <c r="H37" s="108">
        <f t="shared" ref="H37:T37" si="13">SUM(H38:H41)</f>
        <v>1400000</v>
      </c>
      <c r="I37" s="108">
        <f t="shared" si="13"/>
        <v>7400000</v>
      </c>
      <c r="J37" s="108">
        <f t="shared" si="13"/>
        <v>1400000</v>
      </c>
      <c r="K37" s="108">
        <f t="shared" si="13"/>
        <v>1400000</v>
      </c>
      <c r="L37" s="108">
        <f t="shared" si="13"/>
        <v>1400000</v>
      </c>
      <c r="M37" s="108">
        <f t="shared" si="13"/>
        <v>1400000</v>
      </c>
      <c r="N37" s="108">
        <f t="shared" si="13"/>
        <v>4600000</v>
      </c>
      <c r="O37" s="108">
        <f t="shared" si="13"/>
        <v>1400000</v>
      </c>
      <c r="P37" s="108">
        <f t="shared" si="13"/>
        <v>1400000</v>
      </c>
      <c r="Q37" s="108">
        <f t="shared" si="13"/>
        <v>1400000</v>
      </c>
      <c r="R37" s="108">
        <f t="shared" si="13"/>
        <v>1400000</v>
      </c>
      <c r="S37" s="108">
        <f t="shared" si="13"/>
        <v>2700000</v>
      </c>
      <c r="T37" s="108">
        <f t="shared" si="13"/>
        <v>27300000</v>
      </c>
      <c r="U37" s="26">
        <f t="shared" si="8"/>
        <v>0</v>
      </c>
    </row>
    <row r="38" spans="1:21" ht="14.25" x14ac:dyDescent="0.2">
      <c r="A38" s="100" t="s">
        <v>32</v>
      </c>
      <c r="B38" s="58" t="s">
        <v>33</v>
      </c>
      <c r="C38" s="159">
        <v>6000000</v>
      </c>
      <c r="D38" s="8"/>
      <c r="E38" s="9"/>
      <c r="F38" s="10"/>
      <c r="G38" s="39">
        <f>C38+D38+E38-F38</f>
        <v>6000000</v>
      </c>
      <c r="H38" s="41">
        <v>0</v>
      </c>
      <c r="I38" s="2">
        <v>6000000</v>
      </c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8"/>
        <v>0</v>
      </c>
    </row>
    <row r="39" spans="1:21" ht="14.25" x14ac:dyDescent="0.2">
      <c r="A39" s="100" t="s">
        <v>34</v>
      </c>
      <c r="B39" s="59" t="s">
        <v>35</v>
      </c>
      <c r="C39" s="159">
        <v>20000000</v>
      </c>
      <c r="D39" s="45"/>
      <c r="E39" s="9"/>
      <c r="F39" s="10"/>
      <c r="G39" s="39">
        <f>C39+D39+E39-F39</f>
        <v>20000000</v>
      </c>
      <c r="H39" s="40">
        <v>1400000</v>
      </c>
      <c r="I39" s="40">
        <v>1400000</v>
      </c>
      <c r="J39" s="40">
        <v>1400000</v>
      </c>
      <c r="K39" s="40">
        <v>1400000</v>
      </c>
      <c r="L39" s="40">
        <v>1400000</v>
      </c>
      <c r="M39" s="40">
        <v>1400000</v>
      </c>
      <c r="N39" s="40">
        <v>4600000</v>
      </c>
      <c r="O39" s="40">
        <v>1400000</v>
      </c>
      <c r="P39" s="40">
        <v>1400000</v>
      </c>
      <c r="Q39" s="40">
        <v>1400000</v>
      </c>
      <c r="R39" s="40">
        <v>1400000</v>
      </c>
      <c r="S39" s="40">
        <v>1400000</v>
      </c>
      <c r="T39" s="42">
        <f t="shared" si="14"/>
        <v>20000000</v>
      </c>
      <c r="U39" s="26">
        <f t="shared" si="8"/>
        <v>0</v>
      </c>
    </row>
    <row r="40" spans="1:21" ht="14.25" x14ac:dyDescent="0.2">
      <c r="A40" s="100" t="s">
        <v>36</v>
      </c>
      <c r="B40" s="58" t="s">
        <v>37</v>
      </c>
      <c r="C40" s="159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8"/>
        <v>0</v>
      </c>
    </row>
    <row r="41" spans="1:21" ht="14.25" x14ac:dyDescent="0.2">
      <c r="A41" s="100" t="s">
        <v>38</v>
      </c>
      <c r="B41" s="58" t="s">
        <v>39</v>
      </c>
      <c r="C41" s="156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8"/>
        <v>0</v>
      </c>
    </row>
    <row r="42" spans="1:21" x14ac:dyDescent="0.2">
      <c r="A42" s="113" t="s">
        <v>40</v>
      </c>
      <c r="B42" s="101" t="s">
        <v>133</v>
      </c>
      <c r="C42" s="167">
        <f>SUM(C43:C58)</f>
        <v>158227607</v>
      </c>
      <c r="D42" s="101">
        <f>SUM(D43:D56)</f>
        <v>0</v>
      </c>
      <c r="E42" s="102">
        <f>SUM(E43:E57)</f>
        <v>0</v>
      </c>
      <c r="F42" s="102">
        <f>SUM(F43:F57)</f>
        <v>0</v>
      </c>
      <c r="G42" s="102">
        <f t="shared" ref="G42:L42" si="16">ROUND(SUM(G43:G58),0)</f>
        <v>158227607</v>
      </c>
      <c r="H42" s="102">
        <f t="shared" si="16"/>
        <v>8827334</v>
      </c>
      <c r="I42" s="102">
        <f t="shared" si="16"/>
        <v>36272334</v>
      </c>
      <c r="J42" s="102">
        <f t="shared" si="16"/>
        <v>11872334</v>
      </c>
      <c r="K42" s="102">
        <f t="shared" si="16"/>
        <v>9539334</v>
      </c>
      <c r="L42" s="102">
        <f t="shared" si="16"/>
        <v>31405434</v>
      </c>
      <c r="M42" s="102">
        <f>ROUND(SUM(M43:M57),0)</f>
        <v>11739234</v>
      </c>
      <c r="N42" s="102">
        <f>ROUND(SUM(N43:N57),0)</f>
        <v>9432334</v>
      </c>
      <c r="O42" s="102">
        <f>ROUND(SUM(O43:O57),0)</f>
        <v>5072334</v>
      </c>
      <c r="P42" s="102">
        <f>ROUND(SUM(P43:P58),0)</f>
        <v>6564941</v>
      </c>
      <c r="Q42" s="102">
        <f>ROUND(SUM(Q43:Q58),0)</f>
        <v>7147334</v>
      </c>
      <c r="R42" s="102">
        <f>ROUND(SUM(R43:R58),0)</f>
        <v>8927334</v>
      </c>
      <c r="S42" s="102">
        <f>ROUND(SUM(S43:S58),0)</f>
        <v>11427326</v>
      </c>
      <c r="T42" s="103">
        <f>SUM(T43:T58)</f>
        <v>158227607</v>
      </c>
      <c r="U42" s="26">
        <f t="shared" si="8"/>
        <v>0</v>
      </c>
    </row>
    <row r="43" spans="1:21" ht="14.25" x14ac:dyDescent="0.2">
      <c r="A43" s="100" t="s">
        <v>42</v>
      </c>
      <c r="B43" s="58" t="s">
        <v>43</v>
      </c>
      <c r="C43" s="159">
        <v>9400000</v>
      </c>
      <c r="D43" s="45"/>
      <c r="E43" s="11"/>
      <c r="F43" s="10"/>
      <c r="G43" s="39">
        <f>C43+D43+E43-F43</f>
        <v>9400000</v>
      </c>
      <c r="H43" s="40">
        <v>1400000</v>
      </c>
      <c r="I43" s="40">
        <v>1400000</v>
      </c>
      <c r="J43" s="40">
        <v>1500000</v>
      </c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9400000</v>
      </c>
      <c r="U43" s="26">
        <f t="shared" si="8"/>
        <v>0</v>
      </c>
    </row>
    <row r="44" spans="1:21" ht="14.25" x14ac:dyDescent="0.2">
      <c r="A44" s="100">
        <v>2020120202</v>
      </c>
      <c r="B44" s="58" t="s">
        <v>44</v>
      </c>
      <c r="C44" s="159">
        <v>73027607</v>
      </c>
      <c r="D44" s="45"/>
      <c r="E44" s="11"/>
      <c r="F44" s="10"/>
      <c r="G44" s="39">
        <f t="shared" ref="G44:G76" si="17">C44+D44+E44-F44</f>
        <v>73027607</v>
      </c>
      <c r="H44" s="40">
        <v>4375000</v>
      </c>
      <c r="I44" s="40">
        <v>8000000</v>
      </c>
      <c r="J44" s="40">
        <v>8000000</v>
      </c>
      <c r="K44" s="40">
        <v>8000000</v>
      </c>
      <c r="L44" s="40">
        <v>8000000</v>
      </c>
      <c r="M44" s="40">
        <v>8000000</v>
      </c>
      <c r="N44" s="40">
        <v>8000000</v>
      </c>
      <c r="O44" s="40">
        <v>3500000</v>
      </c>
      <c r="P44" s="40">
        <v>4027607</v>
      </c>
      <c r="Q44" s="40">
        <v>4375000</v>
      </c>
      <c r="R44" s="40">
        <v>4375000</v>
      </c>
      <c r="S44" s="40">
        <v>4375000</v>
      </c>
      <c r="T44" s="42">
        <f t="shared" si="14"/>
        <v>73027607</v>
      </c>
      <c r="U44" s="26">
        <f t="shared" si="8"/>
        <v>0</v>
      </c>
    </row>
    <row r="45" spans="1:21" ht="14.25" x14ac:dyDescent="0.2">
      <c r="A45" s="100" t="s">
        <v>45</v>
      </c>
      <c r="B45" s="58" t="s">
        <v>46</v>
      </c>
      <c r="C45" s="159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8"/>
        <v>0</v>
      </c>
    </row>
    <row r="46" spans="1:21" ht="14.25" x14ac:dyDescent="0.2">
      <c r="A46" s="100" t="s">
        <v>47</v>
      </c>
      <c r="B46" s="58" t="s">
        <v>48</v>
      </c>
      <c r="C46" s="159">
        <f>750000*12</f>
        <v>9000000</v>
      </c>
      <c r="D46" s="8"/>
      <c r="E46" s="9"/>
      <c r="F46" s="10"/>
      <c r="G46" s="39">
        <f t="shared" si="17"/>
        <v>9000000</v>
      </c>
      <c r="H46" s="40">
        <v>784000</v>
      </c>
      <c r="I46" s="40">
        <v>784000</v>
      </c>
      <c r="J46" s="40">
        <v>784000</v>
      </c>
      <c r="K46" s="40">
        <v>784000</v>
      </c>
      <c r="L46" s="40">
        <v>650000</v>
      </c>
      <c r="M46" s="40">
        <v>650000</v>
      </c>
      <c r="N46" s="40">
        <v>644000</v>
      </c>
      <c r="O46" s="40">
        <v>784000</v>
      </c>
      <c r="P46" s="40">
        <v>784000</v>
      </c>
      <c r="Q46" s="40">
        <v>784000</v>
      </c>
      <c r="R46" s="40">
        <v>784000</v>
      </c>
      <c r="S46" s="40">
        <v>784000</v>
      </c>
      <c r="T46" s="42">
        <f t="shared" si="14"/>
        <v>9000000</v>
      </c>
      <c r="U46" s="26">
        <f t="shared" si="8"/>
        <v>0</v>
      </c>
    </row>
    <row r="47" spans="1:21" ht="14.25" x14ac:dyDescent="0.2">
      <c r="A47" s="100" t="s">
        <v>49</v>
      </c>
      <c r="B47" s="58" t="s">
        <v>50</v>
      </c>
      <c r="C47" s="159">
        <v>4500000</v>
      </c>
      <c r="D47" s="8"/>
      <c r="E47" s="11"/>
      <c r="F47" s="10"/>
      <c r="G47" s="39">
        <f t="shared" si="17"/>
        <v>4500000</v>
      </c>
      <c r="H47" s="40">
        <v>360000</v>
      </c>
      <c r="I47" s="40">
        <v>380000</v>
      </c>
      <c r="J47" s="40">
        <v>380000</v>
      </c>
      <c r="K47" s="40">
        <v>380000</v>
      </c>
      <c r="L47" s="40">
        <v>380000</v>
      </c>
      <c r="M47" s="40">
        <v>380000</v>
      </c>
      <c r="N47" s="40">
        <v>380000</v>
      </c>
      <c r="O47" s="40">
        <v>380000</v>
      </c>
      <c r="P47" s="40">
        <v>380000</v>
      </c>
      <c r="Q47" s="40">
        <v>380000</v>
      </c>
      <c r="R47" s="40">
        <v>360000</v>
      </c>
      <c r="S47" s="40">
        <v>360000</v>
      </c>
      <c r="T47" s="42">
        <f t="shared" si="14"/>
        <v>4500000</v>
      </c>
      <c r="U47" s="26">
        <f t="shared" si="8"/>
        <v>0</v>
      </c>
    </row>
    <row r="48" spans="1:21" ht="14.25" x14ac:dyDescent="0.2">
      <c r="A48" s="100" t="s">
        <v>51</v>
      </c>
      <c r="B48" s="58" t="s">
        <v>52</v>
      </c>
      <c r="C48" s="159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8"/>
        <v>0</v>
      </c>
    </row>
    <row r="49" spans="1:22" ht="14.25" x14ac:dyDescent="0.2">
      <c r="A49" s="100" t="s">
        <v>53</v>
      </c>
      <c r="B49" s="59" t="s">
        <v>54</v>
      </c>
      <c r="C49" s="159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8"/>
        <v>0</v>
      </c>
    </row>
    <row r="50" spans="1:22" ht="14.25" x14ac:dyDescent="0.2">
      <c r="A50" s="100" t="s">
        <v>55</v>
      </c>
      <c r="B50" s="58" t="s">
        <v>56</v>
      </c>
      <c r="C50" s="159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8"/>
        <v>0</v>
      </c>
    </row>
    <row r="51" spans="1:22" ht="14.25" x14ac:dyDescent="0.2">
      <c r="A51" s="100" t="s">
        <v>57</v>
      </c>
      <c r="B51" s="58" t="s">
        <v>58</v>
      </c>
      <c r="C51" s="159">
        <v>5000000</v>
      </c>
      <c r="D51" s="8"/>
      <c r="E51" s="11"/>
      <c r="F51" s="10"/>
      <c r="G51" s="39">
        <f t="shared" si="17"/>
        <v>5000000</v>
      </c>
      <c r="H51" s="40">
        <v>1500000</v>
      </c>
      <c r="I51" s="6"/>
      <c r="J51" s="6"/>
      <c r="K51" s="6"/>
      <c r="L51" s="6"/>
      <c r="M51" s="6"/>
      <c r="N51" s="6"/>
      <c r="O51" s="6"/>
      <c r="P51" s="6"/>
      <c r="Q51" s="6"/>
      <c r="R51" s="41"/>
      <c r="S51" s="41">
        <v>3500000</v>
      </c>
      <c r="T51" s="42">
        <f t="shared" si="14"/>
        <v>5000000</v>
      </c>
      <c r="U51" s="26">
        <f t="shared" si="8"/>
        <v>0</v>
      </c>
    </row>
    <row r="52" spans="1:22" ht="14.25" x14ac:dyDescent="0.2">
      <c r="A52" s="100" t="s">
        <v>59</v>
      </c>
      <c r="B52" s="59" t="s">
        <v>60</v>
      </c>
      <c r="C52" s="159">
        <v>24000000</v>
      </c>
      <c r="D52" s="8"/>
      <c r="E52" s="9"/>
      <c r="F52" s="10"/>
      <c r="G52" s="39">
        <f t="shared" si="17"/>
        <v>24000000</v>
      </c>
      <c r="H52" s="40"/>
      <c r="I52" s="6">
        <v>24000000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24000000</v>
      </c>
      <c r="U52" s="26">
        <f t="shared" si="8"/>
        <v>0</v>
      </c>
    </row>
    <row r="53" spans="1:22" ht="14.25" x14ac:dyDescent="0.2">
      <c r="A53" s="100" t="s">
        <v>61</v>
      </c>
      <c r="B53" s="58" t="s">
        <v>62</v>
      </c>
      <c r="C53" s="159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8"/>
        <v>0</v>
      </c>
    </row>
    <row r="54" spans="1:22" ht="14.25" x14ac:dyDescent="0.2">
      <c r="A54" s="100" t="s">
        <v>63</v>
      </c>
      <c r="B54" s="58" t="s">
        <v>64</v>
      </c>
      <c r="C54" s="159">
        <v>22000000</v>
      </c>
      <c r="D54" s="8"/>
      <c r="E54" s="9"/>
      <c r="F54" s="10"/>
      <c r="G54" s="39">
        <f t="shared" si="17"/>
        <v>22000000</v>
      </c>
      <c r="H54" s="40">
        <v>0</v>
      </c>
      <c r="I54" s="40">
        <v>0</v>
      </c>
      <c r="J54" s="40">
        <v>0</v>
      </c>
      <c r="K54" s="40">
        <v>0</v>
      </c>
      <c r="L54" s="40">
        <v>22000000</v>
      </c>
      <c r="M54" s="40"/>
      <c r="N54" s="40"/>
      <c r="O54" s="40"/>
      <c r="P54" s="40"/>
      <c r="Q54" s="40"/>
      <c r="R54" s="41"/>
      <c r="S54" s="41"/>
      <c r="T54" s="42">
        <f t="shared" si="14"/>
        <v>22000000</v>
      </c>
      <c r="U54" s="26">
        <f t="shared" si="8"/>
        <v>0</v>
      </c>
    </row>
    <row r="55" spans="1:22" ht="14.25" x14ac:dyDescent="0.2">
      <c r="A55" s="100">
        <v>2020120213</v>
      </c>
      <c r="B55" s="58" t="s">
        <v>65</v>
      </c>
      <c r="C55" s="159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8"/>
        <v>0</v>
      </c>
    </row>
    <row r="56" spans="1:22" ht="14.25" x14ac:dyDescent="0.2">
      <c r="A56" s="100" t="s">
        <v>66</v>
      </c>
      <c r="B56" s="58" t="s">
        <v>67</v>
      </c>
      <c r="C56" s="159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8"/>
        <v>0</v>
      </c>
    </row>
    <row r="57" spans="1:22" ht="14.25" x14ac:dyDescent="0.2">
      <c r="A57" s="100">
        <v>2020120215</v>
      </c>
      <c r="B57" s="58" t="s">
        <v>97</v>
      </c>
      <c r="C57" s="159">
        <v>1300000</v>
      </c>
      <c r="D57" s="8"/>
      <c r="E57" s="11"/>
      <c r="F57" s="10"/>
      <c r="G57" s="39">
        <f t="shared" si="17"/>
        <v>1300000</v>
      </c>
      <c r="H57" s="41">
        <v>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>
        <v>1300000</v>
      </c>
      <c r="S57" s="41"/>
      <c r="T57" s="42">
        <f t="shared" si="14"/>
        <v>1300000</v>
      </c>
      <c r="U57" s="26">
        <f t="shared" si="8"/>
        <v>0</v>
      </c>
    </row>
    <row r="58" spans="1:22" ht="14.25" x14ac:dyDescent="0.2">
      <c r="A58" s="100">
        <v>2020120216</v>
      </c>
      <c r="B58" s="161" t="s">
        <v>148</v>
      </c>
      <c r="C58" s="156"/>
      <c r="D58" s="8"/>
      <c r="E58" s="11"/>
      <c r="F58" s="10"/>
      <c r="G58" s="39">
        <f t="shared" si="17"/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2">
        <f t="shared" si="14"/>
        <v>0</v>
      </c>
      <c r="U58" s="26">
        <f t="shared" si="8"/>
        <v>0</v>
      </c>
    </row>
    <row r="59" spans="1:22" x14ac:dyDescent="0.2">
      <c r="A59" s="113" t="s">
        <v>68</v>
      </c>
      <c r="B59" s="101" t="s">
        <v>134</v>
      </c>
      <c r="C59" s="101">
        <f>SUM(C60:C63)</f>
        <v>73229741</v>
      </c>
      <c r="D59" s="101">
        <f>SUM(D60:D63)</f>
        <v>0</v>
      </c>
      <c r="E59" s="101">
        <f>SUM(E60:E63)</f>
        <v>0</v>
      </c>
      <c r="F59" s="102">
        <f>SUM(F60:F63)</f>
        <v>0</v>
      </c>
      <c r="G59" s="102">
        <f>ROUND(SUM(G60:G63),0)</f>
        <v>73229741</v>
      </c>
      <c r="H59" s="102">
        <f t="shared" ref="H59:S59" si="18">ROUND(SUM(H60:H63),0)</f>
        <v>5535806</v>
      </c>
      <c r="I59" s="102">
        <f t="shared" si="18"/>
        <v>5035806</v>
      </c>
      <c r="J59" s="102">
        <f t="shared" si="18"/>
        <v>5035806</v>
      </c>
      <c r="K59" s="102">
        <f t="shared" si="18"/>
        <v>5035806</v>
      </c>
      <c r="L59" s="102">
        <f t="shared" si="18"/>
        <v>5035806</v>
      </c>
      <c r="M59" s="102">
        <f t="shared" si="18"/>
        <v>5035806</v>
      </c>
      <c r="N59" s="102">
        <f t="shared" si="18"/>
        <v>5035806</v>
      </c>
      <c r="O59" s="102">
        <f t="shared" si="18"/>
        <v>5035806</v>
      </c>
      <c r="P59" s="102">
        <f t="shared" si="18"/>
        <v>5035806</v>
      </c>
      <c r="Q59" s="102">
        <f t="shared" si="18"/>
        <v>5035806</v>
      </c>
      <c r="R59" s="102">
        <f t="shared" si="18"/>
        <v>5035806</v>
      </c>
      <c r="S59" s="102">
        <f t="shared" si="18"/>
        <v>17335875</v>
      </c>
      <c r="T59" s="102">
        <f>SUM(T60:T63)</f>
        <v>73229741</v>
      </c>
      <c r="U59" s="26">
        <f t="shared" si="8"/>
        <v>0</v>
      </c>
    </row>
    <row r="60" spans="1:22" ht="14.25" x14ac:dyDescent="0.2">
      <c r="A60" s="100" t="s">
        <v>70</v>
      </c>
      <c r="B60" s="58" t="s">
        <v>71</v>
      </c>
      <c r="C60" s="159">
        <v>6000083</v>
      </c>
      <c r="D60" s="8"/>
      <c r="E60" s="9"/>
      <c r="F60" s="10"/>
      <c r="G60" s="39">
        <f t="shared" si="17"/>
        <v>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6000083</v>
      </c>
      <c r="T60" s="42">
        <f t="shared" si="14"/>
        <v>6000083</v>
      </c>
      <c r="U60" s="26">
        <f t="shared" si="8"/>
        <v>0</v>
      </c>
    </row>
    <row r="61" spans="1:22" ht="14.25" x14ac:dyDescent="0.2">
      <c r="A61" s="100" t="s">
        <v>72</v>
      </c>
      <c r="B61" s="58" t="s">
        <v>73</v>
      </c>
      <c r="C61" s="159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8"/>
        <v>0</v>
      </c>
      <c r="V61" s="26"/>
    </row>
    <row r="62" spans="1:22" ht="14.25" x14ac:dyDescent="0.2">
      <c r="A62" s="100">
        <v>2020110304</v>
      </c>
      <c r="B62" s="58" t="s">
        <v>74</v>
      </c>
      <c r="C62" s="159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8"/>
        <v>0</v>
      </c>
    </row>
    <row r="63" spans="1:22" ht="14.25" x14ac:dyDescent="0.2">
      <c r="A63" s="100">
        <v>2020110305</v>
      </c>
      <c r="B63" s="58" t="s">
        <v>75</v>
      </c>
      <c r="C63" s="159">
        <v>6800000</v>
      </c>
      <c r="D63" s="8"/>
      <c r="E63" s="9"/>
      <c r="F63" s="10"/>
      <c r="G63" s="39">
        <f t="shared" si="17"/>
        <v>6800000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6300000</v>
      </c>
      <c r="T63" s="42">
        <f t="shared" si="14"/>
        <v>6800000</v>
      </c>
      <c r="U63" s="26">
        <f t="shared" si="8"/>
        <v>0</v>
      </c>
    </row>
    <row r="64" spans="1:22" x14ac:dyDescent="0.2">
      <c r="A64" s="113">
        <v>20201104</v>
      </c>
      <c r="B64" s="101" t="s">
        <v>135</v>
      </c>
      <c r="C64" s="101">
        <f>SUM(C65:C74)</f>
        <v>133100000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3">
        <f>SUM(G65:G74)</f>
        <v>133100000</v>
      </c>
      <c r="H64" s="103">
        <f t="shared" ref="H64:S64" si="19">SUM(H65:H74)</f>
        <v>10091665</v>
      </c>
      <c r="I64" s="103">
        <f t="shared" si="19"/>
        <v>22091665</v>
      </c>
      <c r="J64" s="103">
        <f t="shared" si="19"/>
        <v>10091665</v>
      </c>
      <c r="K64" s="103">
        <f t="shared" si="19"/>
        <v>10091665</v>
      </c>
      <c r="L64" s="103">
        <f t="shared" si="19"/>
        <v>10091665</v>
      </c>
      <c r="M64" s="103">
        <f t="shared" si="19"/>
        <v>10091665</v>
      </c>
      <c r="N64" s="103">
        <f t="shared" si="19"/>
        <v>10091665</v>
      </c>
      <c r="O64" s="103">
        <f t="shared" si="19"/>
        <v>10091665</v>
      </c>
      <c r="P64" s="103">
        <f t="shared" si="19"/>
        <v>10091665</v>
      </c>
      <c r="Q64" s="103">
        <f t="shared" si="19"/>
        <v>10091665</v>
      </c>
      <c r="R64" s="103">
        <f t="shared" si="19"/>
        <v>10091665</v>
      </c>
      <c r="S64" s="103">
        <f t="shared" si="19"/>
        <v>10091685</v>
      </c>
      <c r="T64" s="103">
        <f>SUM(T65:T74)</f>
        <v>133100000</v>
      </c>
      <c r="U64" s="26">
        <f t="shared" si="8"/>
        <v>0</v>
      </c>
    </row>
    <row r="65" spans="1:21" ht="14.25" x14ac:dyDescent="0.2">
      <c r="A65" s="114" t="s">
        <v>77</v>
      </c>
      <c r="B65" s="58" t="s">
        <v>78</v>
      </c>
      <c r="C65" s="159">
        <v>12000000</v>
      </c>
      <c r="D65" s="8"/>
      <c r="E65" s="9"/>
      <c r="F65" s="10"/>
      <c r="G65" s="39">
        <f>ROUND((C65+D65+E65-F65),0)</f>
        <v>12000000</v>
      </c>
      <c r="H65" s="2"/>
      <c r="I65" s="2">
        <v>12000000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/>
      <c r="T65" s="42">
        <f>ROUND(SUM(H65:S65),0)</f>
        <v>12000000</v>
      </c>
      <c r="U65" s="26">
        <f t="shared" si="8"/>
        <v>0</v>
      </c>
    </row>
    <row r="66" spans="1:21" ht="14.25" x14ac:dyDescent="0.2">
      <c r="A66" s="100" t="s">
        <v>79</v>
      </c>
      <c r="B66" s="58" t="s">
        <v>73</v>
      </c>
      <c r="C66" s="159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8"/>
        <v>0</v>
      </c>
    </row>
    <row r="67" spans="1:21" ht="14.25" x14ac:dyDescent="0.2">
      <c r="A67" s="100" t="s">
        <v>80</v>
      </c>
      <c r="B67" s="58" t="s">
        <v>81</v>
      </c>
      <c r="C67" s="159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8"/>
        <v>0</v>
      </c>
    </row>
    <row r="68" spans="1:21" ht="14.25" x14ac:dyDescent="0.2">
      <c r="A68" s="100" t="s">
        <v>82</v>
      </c>
      <c r="B68" s="58" t="s">
        <v>74</v>
      </c>
      <c r="C68" s="159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8"/>
        <v>0</v>
      </c>
    </row>
    <row r="69" spans="1:21" ht="14.25" x14ac:dyDescent="0.2">
      <c r="A69" s="100" t="s">
        <v>83</v>
      </c>
      <c r="B69" s="58" t="s">
        <v>84</v>
      </c>
      <c r="C69" s="159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8"/>
        <v>0</v>
      </c>
    </row>
    <row r="70" spans="1:21" ht="14.25" x14ac:dyDescent="0.2">
      <c r="A70" s="100" t="s">
        <v>85</v>
      </c>
      <c r="B70" s="58" t="s">
        <v>86</v>
      </c>
      <c r="C70" s="159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8"/>
        <v>0</v>
      </c>
    </row>
    <row r="71" spans="1:21" ht="14.25" x14ac:dyDescent="0.2">
      <c r="A71" s="100" t="s">
        <v>87</v>
      </c>
      <c r="B71" s="58" t="s">
        <v>88</v>
      </c>
      <c r="C71" s="159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8"/>
        <v>0</v>
      </c>
    </row>
    <row r="72" spans="1:21" ht="14.25" x14ac:dyDescent="0.2">
      <c r="A72" s="100" t="s">
        <v>89</v>
      </c>
      <c r="B72" s="58" t="s">
        <v>90</v>
      </c>
      <c r="C72" s="159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8"/>
        <v>0</v>
      </c>
    </row>
    <row r="73" spans="1:21" ht="14.25" x14ac:dyDescent="0.2">
      <c r="A73" s="100" t="s">
        <v>91</v>
      </c>
      <c r="B73" s="58" t="s">
        <v>92</v>
      </c>
      <c r="C73" s="159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8"/>
        <v>0</v>
      </c>
    </row>
    <row r="74" spans="1:21" ht="14.25" x14ac:dyDescent="0.2">
      <c r="A74" s="100" t="s">
        <v>93</v>
      </c>
      <c r="B74" s="58" t="s">
        <v>94</v>
      </c>
      <c r="C74" s="159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8"/>
        <v>0</v>
      </c>
    </row>
    <row r="75" spans="1:21" x14ac:dyDescent="0.2">
      <c r="A75" s="113">
        <v>20201301</v>
      </c>
      <c r="B75" s="101" t="s">
        <v>95</v>
      </c>
      <c r="C75" s="102">
        <f t="shared" ref="C75:T75" si="22">C76</f>
        <v>0</v>
      </c>
      <c r="D75" s="103">
        <f t="shared" si="22"/>
        <v>0</v>
      </c>
      <c r="E75" s="103">
        <f t="shared" si="22"/>
        <v>0</v>
      </c>
      <c r="F75" s="103">
        <f t="shared" si="22"/>
        <v>0</v>
      </c>
      <c r="G75" s="103">
        <f t="shared" si="22"/>
        <v>0</v>
      </c>
      <c r="H75" s="101">
        <f t="shared" si="22"/>
        <v>0</v>
      </c>
      <c r="I75" s="101">
        <f t="shared" si="22"/>
        <v>0</v>
      </c>
      <c r="J75" s="101">
        <f t="shared" si="22"/>
        <v>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0</v>
      </c>
      <c r="U75" s="26">
        <f t="shared" si="8"/>
        <v>0</v>
      </c>
    </row>
    <row r="76" spans="1:21" ht="15" thickBot="1" x14ac:dyDescent="0.25">
      <c r="A76" s="104">
        <v>2020130101</v>
      </c>
      <c r="B76" s="60" t="s">
        <v>142</v>
      </c>
      <c r="C76" s="166">
        <v>0</v>
      </c>
      <c r="D76" s="147"/>
      <c r="E76" s="148"/>
      <c r="F76" s="149"/>
      <c r="G76" s="106">
        <f t="shared" si="17"/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/>
      <c r="O76" s="107">
        <v>0</v>
      </c>
      <c r="P76" s="107"/>
      <c r="Q76" s="107"/>
      <c r="R76" s="107"/>
      <c r="S76" s="107"/>
      <c r="T76" s="42">
        <f>ROUND(SUM(H76:S76),0)</f>
        <v>0</v>
      </c>
      <c r="U76" s="26">
        <f t="shared" si="8"/>
        <v>0</v>
      </c>
    </row>
    <row r="77" spans="1:21" x14ac:dyDescent="0.2">
      <c r="A77" s="101"/>
      <c r="B77" s="101" t="s">
        <v>136</v>
      </c>
      <c r="C77" s="103">
        <f>C64+C59+C42+C37+C32+C23+C75</f>
        <v>1168442348</v>
      </c>
      <c r="D77" s="103">
        <f>D64+D59+D42+D37+D32+D23+D75</f>
        <v>0</v>
      </c>
      <c r="E77" s="103">
        <f>E64+E59+E42+E37+E32+E23+E75</f>
        <v>0</v>
      </c>
      <c r="F77" s="103">
        <f>F64+F59+F42+F37+F32+F23+F75</f>
        <v>0</v>
      </c>
      <c r="G77" s="103">
        <f>G64+G59+G42+G37+G32+G23+G75</f>
        <v>1168442348</v>
      </c>
      <c r="H77" s="103">
        <f>H64+H59+H42+H37+H32+H23</f>
        <v>74598471.666666657</v>
      </c>
      <c r="I77" s="103">
        <f t="shared" ref="I77:O77" si="23">I64+I59+I42+I37+I32+I23</f>
        <v>132947471.66666666</v>
      </c>
      <c r="J77" s="103">
        <f t="shared" si="23"/>
        <v>82647471.666666657</v>
      </c>
      <c r="K77" s="103">
        <f t="shared" si="23"/>
        <v>80314471.666666657</v>
      </c>
      <c r="L77" s="103">
        <f t="shared" si="23"/>
        <v>102730571.66666666</v>
      </c>
      <c r="M77" s="103">
        <f t="shared" si="23"/>
        <v>88692107.666666657</v>
      </c>
      <c r="N77" s="103">
        <f t="shared" si="23"/>
        <v>110907471.66666666</v>
      </c>
      <c r="O77" s="103">
        <f t="shared" si="23"/>
        <v>76997471.666666657</v>
      </c>
      <c r="P77" s="103">
        <f>P64+P59+P42+P37+P32+P23+P75</f>
        <v>72940078.666666657</v>
      </c>
      <c r="Q77" s="103">
        <f>Q64+Q59+Q42+Q37+Q32+Q23</f>
        <v>84709471.666666657</v>
      </c>
      <c r="R77" s="103">
        <f>R64+R59+R42+R37+R32+R23</f>
        <v>82202471.666666657</v>
      </c>
      <c r="S77" s="103">
        <f>S23+S32+S37+S42+S59+S64+S75</f>
        <v>178754816.66666666</v>
      </c>
      <c r="T77" s="103">
        <f>T75+T64+T59+T42+T37+T32+T23</f>
        <v>1168442348</v>
      </c>
      <c r="U77" s="26">
        <f t="shared" si="8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291</v>
      </c>
      <c r="H80" s="12"/>
      <c r="I80" s="12"/>
      <c r="J80" s="12"/>
      <c r="K80" s="12"/>
      <c r="L80" s="12"/>
      <c r="M80" s="12"/>
      <c r="N80" s="12"/>
      <c r="O80" s="12"/>
      <c r="P80" s="28" t="s">
        <v>170</v>
      </c>
      <c r="Q80" s="12"/>
      <c r="R80" s="12"/>
      <c r="S80" s="12"/>
      <c r="T80" s="47"/>
    </row>
    <row r="81" spans="2:20" x14ac:dyDescent="0.2">
      <c r="B81" s="16"/>
      <c r="C81" s="105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 t="s">
        <v>178</v>
      </c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90E1-54AF-475A-9B68-B9CB4FDE9DC5}">
  <dimension ref="A1:X93"/>
  <sheetViews>
    <sheetView topLeftCell="E10" zoomScale="84" zoomScaleNormal="84" zoomScaleSheetLayoutView="30" workbookViewId="0">
      <selection activeCell="M78" sqref="M78"/>
    </sheetView>
  </sheetViews>
  <sheetFormatPr baseColWidth="10" defaultRowHeight="12.75" x14ac:dyDescent="0.2"/>
  <cols>
    <col min="1" max="1" width="12.625" style="504" customWidth="1"/>
    <col min="2" max="2" width="38.125" style="508" bestFit="1" customWidth="1"/>
    <col min="3" max="3" width="13.5" style="508" bestFit="1" customWidth="1"/>
    <col min="4" max="4" width="35.5" style="508" bestFit="1" customWidth="1"/>
    <col min="5" max="5" width="10.25" style="508" bestFit="1" customWidth="1"/>
    <col min="6" max="6" width="12.5" style="508" bestFit="1" customWidth="1"/>
    <col min="7" max="7" width="37.5" style="508" bestFit="1" customWidth="1"/>
    <col min="8" max="9" width="10.25" style="508" bestFit="1" customWidth="1"/>
    <col min="10" max="10" width="11.125" style="508" bestFit="1" customWidth="1"/>
    <col min="11" max="11" width="10.25" style="508" bestFit="1" customWidth="1"/>
    <col min="12" max="19" width="14.625" style="508" customWidth="1"/>
    <col min="20" max="20" width="15.875" style="508" bestFit="1" customWidth="1"/>
    <col min="21" max="21" width="11.875" style="508" bestFit="1" customWidth="1"/>
    <col min="22" max="22" width="12.875" style="508" bestFit="1" customWidth="1"/>
    <col min="23" max="23" width="13.875" style="508" bestFit="1" customWidth="1"/>
    <col min="24" max="257" width="11" style="508"/>
    <col min="258" max="258" width="51" style="508" customWidth="1"/>
    <col min="259" max="259" width="19" style="508" customWidth="1"/>
    <col min="260" max="260" width="15.375" style="508" customWidth="1"/>
    <col min="261" max="261" width="14.5" style="508" customWidth="1"/>
    <col min="262" max="262" width="19.75" style="508" customWidth="1"/>
    <col min="263" max="263" width="20.5" style="508" customWidth="1"/>
    <col min="264" max="264" width="15.25" style="508" customWidth="1"/>
    <col min="265" max="265" width="15.625" style="508" customWidth="1"/>
    <col min="266" max="266" width="15.625" style="508" bestFit="1" customWidth="1"/>
    <col min="267" max="267" width="14.875" style="508" customWidth="1"/>
    <col min="268" max="268" width="15.625" style="508" bestFit="1" customWidth="1"/>
    <col min="269" max="269" width="15" style="508" customWidth="1"/>
    <col min="270" max="270" width="15.625" style="508" bestFit="1" customWidth="1"/>
    <col min="271" max="271" width="15.875" style="508" customWidth="1"/>
    <col min="272" max="272" width="16.25" style="508" customWidth="1"/>
    <col min="273" max="273" width="16.75" style="508" customWidth="1"/>
    <col min="274" max="274" width="14.875" style="508" customWidth="1"/>
    <col min="275" max="275" width="19.625" style="508" bestFit="1" customWidth="1"/>
    <col min="276" max="276" width="21.875" style="508" customWidth="1"/>
    <col min="277" max="513" width="11" style="508"/>
    <col min="514" max="514" width="51" style="508" customWidth="1"/>
    <col min="515" max="515" width="19" style="508" customWidth="1"/>
    <col min="516" max="516" width="15.375" style="508" customWidth="1"/>
    <col min="517" max="517" width="14.5" style="508" customWidth="1"/>
    <col min="518" max="518" width="19.75" style="508" customWidth="1"/>
    <col min="519" max="519" width="20.5" style="508" customWidth="1"/>
    <col min="520" max="520" width="15.25" style="508" customWidth="1"/>
    <col min="521" max="521" width="15.625" style="508" customWidth="1"/>
    <col min="522" max="522" width="15.625" style="508" bestFit="1" customWidth="1"/>
    <col min="523" max="523" width="14.875" style="508" customWidth="1"/>
    <col min="524" max="524" width="15.625" style="508" bestFit="1" customWidth="1"/>
    <col min="525" max="525" width="15" style="508" customWidth="1"/>
    <col min="526" max="526" width="15.625" style="508" bestFit="1" customWidth="1"/>
    <col min="527" max="527" width="15.875" style="508" customWidth="1"/>
    <col min="528" max="528" width="16.25" style="508" customWidth="1"/>
    <col min="529" max="529" width="16.75" style="508" customWidth="1"/>
    <col min="530" max="530" width="14.875" style="508" customWidth="1"/>
    <col min="531" max="531" width="19.625" style="508" bestFit="1" customWidth="1"/>
    <col min="532" max="532" width="21.875" style="508" customWidth="1"/>
    <col min="533" max="769" width="11" style="508"/>
    <col min="770" max="770" width="51" style="508" customWidth="1"/>
    <col min="771" max="771" width="19" style="508" customWidth="1"/>
    <col min="772" max="772" width="15.375" style="508" customWidth="1"/>
    <col min="773" max="773" width="14.5" style="508" customWidth="1"/>
    <col min="774" max="774" width="19.75" style="508" customWidth="1"/>
    <col min="775" max="775" width="20.5" style="508" customWidth="1"/>
    <col min="776" max="776" width="15.25" style="508" customWidth="1"/>
    <col min="777" max="777" width="15.625" style="508" customWidth="1"/>
    <col min="778" max="778" width="15.625" style="508" bestFit="1" customWidth="1"/>
    <col min="779" max="779" width="14.875" style="508" customWidth="1"/>
    <col min="780" max="780" width="15.625" style="508" bestFit="1" customWidth="1"/>
    <col min="781" max="781" width="15" style="508" customWidth="1"/>
    <col min="782" max="782" width="15.625" style="508" bestFit="1" customWidth="1"/>
    <col min="783" max="783" width="15.875" style="508" customWidth="1"/>
    <col min="784" max="784" width="16.25" style="508" customWidth="1"/>
    <col min="785" max="785" width="16.75" style="508" customWidth="1"/>
    <col min="786" max="786" width="14.875" style="508" customWidth="1"/>
    <col min="787" max="787" width="19.625" style="508" bestFit="1" customWidth="1"/>
    <col min="788" max="788" width="21.875" style="508" customWidth="1"/>
    <col min="789" max="1025" width="11" style="508"/>
    <col min="1026" max="1026" width="51" style="508" customWidth="1"/>
    <col min="1027" max="1027" width="19" style="508" customWidth="1"/>
    <col min="1028" max="1028" width="15.375" style="508" customWidth="1"/>
    <col min="1029" max="1029" width="14.5" style="508" customWidth="1"/>
    <col min="1030" max="1030" width="19.75" style="508" customWidth="1"/>
    <col min="1031" max="1031" width="20.5" style="508" customWidth="1"/>
    <col min="1032" max="1032" width="15.25" style="508" customWidth="1"/>
    <col min="1033" max="1033" width="15.625" style="508" customWidth="1"/>
    <col min="1034" max="1034" width="15.625" style="508" bestFit="1" customWidth="1"/>
    <col min="1035" max="1035" width="14.875" style="508" customWidth="1"/>
    <col min="1036" max="1036" width="15.625" style="508" bestFit="1" customWidth="1"/>
    <col min="1037" max="1037" width="15" style="508" customWidth="1"/>
    <col min="1038" max="1038" width="15.625" style="508" bestFit="1" customWidth="1"/>
    <col min="1039" max="1039" width="15.875" style="508" customWidth="1"/>
    <col min="1040" max="1040" width="16.25" style="508" customWidth="1"/>
    <col min="1041" max="1041" width="16.75" style="508" customWidth="1"/>
    <col min="1042" max="1042" width="14.875" style="508" customWidth="1"/>
    <col min="1043" max="1043" width="19.625" style="508" bestFit="1" customWidth="1"/>
    <col min="1044" max="1044" width="21.875" style="508" customWidth="1"/>
    <col min="1045" max="1281" width="11" style="508"/>
    <col min="1282" max="1282" width="51" style="508" customWidth="1"/>
    <col min="1283" max="1283" width="19" style="508" customWidth="1"/>
    <col min="1284" max="1284" width="15.375" style="508" customWidth="1"/>
    <col min="1285" max="1285" width="14.5" style="508" customWidth="1"/>
    <col min="1286" max="1286" width="19.75" style="508" customWidth="1"/>
    <col min="1287" max="1287" width="20.5" style="508" customWidth="1"/>
    <col min="1288" max="1288" width="15.25" style="508" customWidth="1"/>
    <col min="1289" max="1289" width="15.625" style="508" customWidth="1"/>
    <col min="1290" max="1290" width="15.625" style="508" bestFit="1" customWidth="1"/>
    <col min="1291" max="1291" width="14.875" style="508" customWidth="1"/>
    <col min="1292" max="1292" width="15.625" style="508" bestFit="1" customWidth="1"/>
    <col min="1293" max="1293" width="15" style="508" customWidth="1"/>
    <col min="1294" max="1294" width="15.625" style="508" bestFit="1" customWidth="1"/>
    <col min="1295" max="1295" width="15.875" style="508" customWidth="1"/>
    <col min="1296" max="1296" width="16.25" style="508" customWidth="1"/>
    <col min="1297" max="1297" width="16.75" style="508" customWidth="1"/>
    <col min="1298" max="1298" width="14.875" style="508" customWidth="1"/>
    <col min="1299" max="1299" width="19.625" style="508" bestFit="1" customWidth="1"/>
    <col min="1300" max="1300" width="21.875" style="508" customWidth="1"/>
    <col min="1301" max="1537" width="11" style="508"/>
    <col min="1538" max="1538" width="51" style="508" customWidth="1"/>
    <col min="1539" max="1539" width="19" style="508" customWidth="1"/>
    <col min="1540" max="1540" width="15.375" style="508" customWidth="1"/>
    <col min="1541" max="1541" width="14.5" style="508" customWidth="1"/>
    <col min="1542" max="1542" width="19.75" style="508" customWidth="1"/>
    <col min="1543" max="1543" width="20.5" style="508" customWidth="1"/>
    <col min="1544" max="1544" width="15.25" style="508" customWidth="1"/>
    <col min="1545" max="1545" width="15.625" style="508" customWidth="1"/>
    <col min="1546" max="1546" width="15.625" style="508" bestFit="1" customWidth="1"/>
    <col min="1547" max="1547" width="14.875" style="508" customWidth="1"/>
    <col min="1548" max="1548" width="15.625" style="508" bestFit="1" customWidth="1"/>
    <col min="1549" max="1549" width="15" style="508" customWidth="1"/>
    <col min="1550" max="1550" width="15.625" style="508" bestFit="1" customWidth="1"/>
    <col min="1551" max="1551" width="15.875" style="508" customWidth="1"/>
    <col min="1552" max="1552" width="16.25" style="508" customWidth="1"/>
    <col min="1553" max="1553" width="16.75" style="508" customWidth="1"/>
    <col min="1554" max="1554" width="14.875" style="508" customWidth="1"/>
    <col min="1555" max="1555" width="19.625" style="508" bestFit="1" customWidth="1"/>
    <col min="1556" max="1556" width="21.875" style="508" customWidth="1"/>
    <col min="1557" max="1793" width="11" style="508"/>
    <col min="1794" max="1794" width="51" style="508" customWidth="1"/>
    <col min="1795" max="1795" width="19" style="508" customWidth="1"/>
    <col min="1796" max="1796" width="15.375" style="508" customWidth="1"/>
    <col min="1797" max="1797" width="14.5" style="508" customWidth="1"/>
    <col min="1798" max="1798" width="19.75" style="508" customWidth="1"/>
    <col min="1799" max="1799" width="20.5" style="508" customWidth="1"/>
    <col min="1800" max="1800" width="15.25" style="508" customWidth="1"/>
    <col min="1801" max="1801" width="15.625" style="508" customWidth="1"/>
    <col min="1802" max="1802" width="15.625" style="508" bestFit="1" customWidth="1"/>
    <col min="1803" max="1803" width="14.875" style="508" customWidth="1"/>
    <col min="1804" max="1804" width="15.625" style="508" bestFit="1" customWidth="1"/>
    <col min="1805" max="1805" width="15" style="508" customWidth="1"/>
    <col min="1806" max="1806" width="15.625" style="508" bestFit="1" customWidth="1"/>
    <col min="1807" max="1807" width="15.875" style="508" customWidth="1"/>
    <col min="1808" max="1808" width="16.25" style="508" customWidth="1"/>
    <col min="1809" max="1809" width="16.75" style="508" customWidth="1"/>
    <col min="1810" max="1810" width="14.875" style="508" customWidth="1"/>
    <col min="1811" max="1811" width="19.625" style="508" bestFit="1" customWidth="1"/>
    <col min="1812" max="1812" width="21.875" style="508" customWidth="1"/>
    <col min="1813" max="2049" width="11" style="508"/>
    <col min="2050" max="2050" width="51" style="508" customWidth="1"/>
    <col min="2051" max="2051" width="19" style="508" customWidth="1"/>
    <col min="2052" max="2052" width="15.375" style="508" customWidth="1"/>
    <col min="2053" max="2053" width="14.5" style="508" customWidth="1"/>
    <col min="2054" max="2054" width="19.75" style="508" customWidth="1"/>
    <col min="2055" max="2055" width="20.5" style="508" customWidth="1"/>
    <col min="2056" max="2056" width="15.25" style="508" customWidth="1"/>
    <col min="2057" max="2057" width="15.625" style="508" customWidth="1"/>
    <col min="2058" max="2058" width="15.625" style="508" bestFit="1" customWidth="1"/>
    <col min="2059" max="2059" width="14.875" style="508" customWidth="1"/>
    <col min="2060" max="2060" width="15.625" style="508" bestFit="1" customWidth="1"/>
    <col min="2061" max="2061" width="15" style="508" customWidth="1"/>
    <col min="2062" max="2062" width="15.625" style="508" bestFit="1" customWidth="1"/>
    <col min="2063" max="2063" width="15.875" style="508" customWidth="1"/>
    <col min="2064" max="2064" width="16.25" style="508" customWidth="1"/>
    <col min="2065" max="2065" width="16.75" style="508" customWidth="1"/>
    <col min="2066" max="2066" width="14.875" style="508" customWidth="1"/>
    <col min="2067" max="2067" width="19.625" style="508" bestFit="1" customWidth="1"/>
    <col min="2068" max="2068" width="21.875" style="508" customWidth="1"/>
    <col min="2069" max="2305" width="11" style="508"/>
    <col min="2306" max="2306" width="51" style="508" customWidth="1"/>
    <col min="2307" max="2307" width="19" style="508" customWidth="1"/>
    <col min="2308" max="2308" width="15.375" style="508" customWidth="1"/>
    <col min="2309" max="2309" width="14.5" style="508" customWidth="1"/>
    <col min="2310" max="2310" width="19.75" style="508" customWidth="1"/>
    <col min="2311" max="2311" width="20.5" style="508" customWidth="1"/>
    <col min="2312" max="2312" width="15.25" style="508" customWidth="1"/>
    <col min="2313" max="2313" width="15.625" style="508" customWidth="1"/>
    <col min="2314" max="2314" width="15.625" style="508" bestFit="1" customWidth="1"/>
    <col min="2315" max="2315" width="14.875" style="508" customWidth="1"/>
    <col min="2316" max="2316" width="15.625" style="508" bestFit="1" customWidth="1"/>
    <col min="2317" max="2317" width="15" style="508" customWidth="1"/>
    <col min="2318" max="2318" width="15.625" style="508" bestFit="1" customWidth="1"/>
    <col min="2319" max="2319" width="15.875" style="508" customWidth="1"/>
    <col min="2320" max="2320" width="16.25" style="508" customWidth="1"/>
    <col min="2321" max="2321" width="16.75" style="508" customWidth="1"/>
    <col min="2322" max="2322" width="14.875" style="508" customWidth="1"/>
    <col min="2323" max="2323" width="19.625" style="508" bestFit="1" customWidth="1"/>
    <col min="2324" max="2324" width="21.875" style="508" customWidth="1"/>
    <col min="2325" max="2561" width="11" style="508"/>
    <col min="2562" max="2562" width="51" style="508" customWidth="1"/>
    <col min="2563" max="2563" width="19" style="508" customWidth="1"/>
    <col min="2564" max="2564" width="15.375" style="508" customWidth="1"/>
    <col min="2565" max="2565" width="14.5" style="508" customWidth="1"/>
    <col min="2566" max="2566" width="19.75" style="508" customWidth="1"/>
    <col min="2567" max="2567" width="20.5" style="508" customWidth="1"/>
    <col min="2568" max="2568" width="15.25" style="508" customWidth="1"/>
    <col min="2569" max="2569" width="15.625" style="508" customWidth="1"/>
    <col min="2570" max="2570" width="15.625" style="508" bestFit="1" customWidth="1"/>
    <col min="2571" max="2571" width="14.875" style="508" customWidth="1"/>
    <col min="2572" max="2572" width="15.625" style="508" bestFit="1" customWidth="1"/>
    <col min="2573" max="2573" width="15" style="508" customWidth="1"/>
    <col min="2574" max="2574" width="15.625" style="508" bestFit="1" customWidth="1"/>
    <col min="2575" max="2575" width="15.875" style="508" customWidth="1"/>
    <col min="2576" max="2576" width="16.25" style="508" customWidth="1"/>
    <col min="2577" max="2577" width="16.75" style="508" customWidth="1"/>
    <col min="2578" max="2578" width="14.875" style="508" customWidth="1"/>
    <col min="2579" max="2579" width="19.625" style="508" bestFit="1" customWidth="1"/>
    <col min="2580" max="2580" width="21.875" style="508" customWidth="1"/>
    <col min="2581" max="2817" width="11" style="508"/>
    <col min="2818" max="2818" width="51" style="508" customWidth="1"/>
    <col min="2819" max="2819" width="19" style="508" customWidth="1"/>
    <col min="2820" max="2820" width="15.375" style="508" customWidth="1"/>
    <col min="2821" max="2821" width="14.5" style="508" customWidth="1"/>
    <col min="2822" max="2822" width="19.75" style="508" customWidth="1"/>
    <col min="2823" max="2823" width="20.5" style="508" customWidth="1"/>
    <col min="2824" max="2824" width="15.25" style="508" customWidth="1"/>
    <col min="2825" max="2825" width="15.625" style="508" customWidth="1"/>
    <col min="2826" max="2826" width="15.625" style="508" bestFit="1" customWidth="1"/>
    <col min="2827" max="2827" width="14.875" style="508" customWidth="1"/>
    <col min="2828" max="2828" width="15.625" style="508" bestFit="1" customWidth="1"/>
    <col min="2829" max="2829" width="15" style="508" customWidth="1"/>
    <col min="2830" max="2830" width="15.625" style="508" bestFit="1" customWidth="1"/>
    <col min="2831" max="2831" width="15.875" style="508" customWidth="1"/>
    <col min="2832" max="2832" width="16.25" style="508" customWidth="1"/>
    <col min="2833" max="2833" width="16.75" style="508" customWidth="1"/>
    <col min="2834" max="2834" width="14.875" style="508" customWidth="1"/>
    <col min="2835" max="2835" width="19.625" style="508" bestFit="1" customWidth="1"/>
    <col min="2836" max="2836" width="21.875" style="508" customWidth="1"/>
    <col min="2837" max="3073" width="11" style="508"/>
    <col min="3074" max="3074" width="51" style="508" customWidth="1"/>
    <col min="3075" max="3075" width="19" style="508" customWidth="1"/>
    <col min="3076" max="3076" width="15.375" style="508" customWidth="1"/>
    <col min="3077" max="3077" width="14.5" style="508" customWidth="1"/>
    <col min="3078" max="3078" width="19.75" style="508" customWidth="1"/>
    <col min="3079" max="3079" width="20.5" style="508" customWidth="1"/>
    <col min="3080" max="3080" width="15.25" style="508" customWidth="1"/>
    <col min="3081" max="3081" width="15.625" style="508" customWidth="1"/>
    <col min="3082" max="3082" width="15.625" style="508" bestFit="1" customWidth="1"/>
    <col min="3083" max="3083" width="14.875" style="508" customWidth="1"/>
    <col min="3084" max="3084" width="15.625" style="508" bestFit="1" customWidth="1"/>
    <col min="3085" max="3085" width="15" style="508" customWidth="1"/>
    <col min="3086" max="3086" width="15.625" style="508" bestFit="1" customWidth="1"/>
    <col min="3087" max="3087" width="15.875" style="508" customWidth="1"/>
    <col min="3088" max="3088" width="16.25" style="508" customWidth="1"/>
    <col min="3089" max="3089" width="16.75" style="508" customWidth="1"/>
    <col min="3090" max="3090" width="14.875" style="508" customWidth="1"/>
    <col min="3091" max="3091" width="19.625" style="508" bestFit="1" customWidth="1"/>
    <col min="3092" max="3092" width="21.875" style="508" customWidth="1"/>
    <col min="3093" max="3329" width="11" style="508"/>
    <col min="3330" max="3330" width="51" style="508" customWidth="1"/>
    <col min="3331" max="3331" width="19" style="508" customWidth="1"/>
    <col min="3332" max="3332" width="15.375" style="508" customWidth="1"/>
    <col min="3333" max="3333" width="14.5" style="508" customWidth="1"/>
    <col min="3334" max="3334" width="19.75" style="508" customWidth="1"/>
    <col min="3335" max="3335" width="20.5" style="508" customWidth="1"/>
    <col min="3336" max="3336" width="15.25" style="508" customWidth="1"/>
    <col min="3337" max="3337" width="15.625" style="508" customWidth="1"/>
    <col min="3338" max="3338" width="15.625" style="508" bestFit="1" customWidth="1"/>
    <col min="3339" max="3339" width="14.875" style="508" customWidth="1"/>
    <col min="3340" max="3340" width="15.625" style="508" bestFit="1" customWidth="1"/>
    <col min="3341" max="3341" width="15" style="508" customWidth="1"/>
    <col min="3342" max="3342" width="15.625" style="508" bestFit="1" customWidth="1"/>
    <col min="3343" max="3343" width="15.875" style="508" customWidth="1"/>
    <col min="3344" max="3344" width="16.25" style="508" customWidth="1"/>
    <col min="3345" max="3345" width="16.75" style="508" customWidth="1"/>
    <col min="3346" max="3346" width="14.875" style="508" customWidth="1"/>
    <col min="3347" max="3347" width="19.625" style="508" bestFit="1" customWidth="1"/>
    <col min="3348" max="3348" width="21.875" style="508" customWidth="1"/>
    <col min="3349" max="3585" width="11" style="508"/>
    <col min="3586" max="3586" width="51" style="508" customWidth="1"/>
    <col min="3587" max="3587" width="19" style="508" customWidth="1"/>
    <col min="3588" max="3588" width="15.375" style="508" customWidth="1"/>
    <col min="3589" max="3589" width="14.5" style="508" customWidth="1"/>
    <col min="3590" max="3590" width="19.75" style="508" customWidth="1"/>
    <col min="3591" max="3591" width="20.5" style="508" customWidth="1"/>
    <col min="3592" max="3592" width="15.25" style="508" customWidth="1"/>
    <col min="3593" max="3593" width="15.625" style="508" customWidth="1"/>
    <col min="3594" max="3594" width="15.625" style="508" bestFit="1" customWidth="1"/>
    <col min="3595" max="3595" width="14.875" style="508" customWidth="1"/>
    <col min="3596" max="3596" width="15.625" style="508" bestFit="1" customWidth="1"/>
    <col min="3597" max="3597" width="15" style="508" customWidth="1"/>
    <col min="3598" max="3598" width="15.625" style="508" bestFit="1" customWidth="1"/>
    <col min="3599" max="3599" width="15.875" style="508" customWidth="1"/>
    <col min="3600" max="3600" width="16.25" style="508" customWidth="1"/>
    <col min="3601" max="3601" width="16.75" style="508" customWidth="1"/>
    <col min="3602" max="3602" width="14.875" style="508" customWidth="1"/>
    <col min="3603" max="3603" width="19.625" style="508" bestFit="1" customWidth="1"/>
    <col min="3604" max="3604" width="21.875" style="508" customWidth="1"/>
    <col min="3605" max="3841" width="11" style="508"/>
    <col min="3842" max="3842" width="51" style="508" customWidth="1"/>
    <col min="3843" max="3843" width="19" style="508" customWidth="1"/>
    <col min="3844" max="3844" width="15.375" style="508" customWidth="1"/>
    <col min="3845" max="3845" width="14.5" style="508" customWidth="1"/>
    <col min="3846" max="3846" width="19.75" style="508" customWidth="1"/>
    <col min="3847" max="3847" width="20.5" style="508" customWidth="1"/>
    <col min="3848" max="3848" width="15.25" style="508" customWidth="1"/>
    <col min="3849" max="3849" width="15.625" style="508" customWidth="1"/>
    <col min="3850" max="3850" width="15.625" style="508" bestFit="1" customWidth="1"/>
    <col min="3851" max="3851" width="14.875" style="508" customWidth="1"/>
    <col min="3852" max="3852" width="15.625" style="508" bestFit="1" customWidth="1"/>
    <col min="3853" max="3853" width="15" style="508" customWidth="1"/>
    <col min="3854" max="3854" width="15.625" style="508" bestFit="1" customWidth="1"/>
    <col min="3855" max="3855" width="15.875" style="508" customWidth="1"/>
    <col min="3856" max="3856" width="16.25" style="508" customWidth="1"/>
    <col min="3857" max="3857" width="16.75" style="508" customWidth="1"/>
    <col min="3858" max="3858" width="14.875" style="508" customWidth="1"/>
    <col min="3859" max="3859" width="19.625" style="508" bestFit="1" customWidth="1"/>
    <col min="3860" max="3860" width="21.875" style="508" customWidth="1"/>
    <col min="3861" max="4097" width="11" style="508"/>
    <col min="4098" max="4098" width="51" style="508" customWidth="1"/>
    <col min="4099" max="4099" width="19" style="508" customWidth="1"/>
    <col min="4100" max="4100" width="15.375" style="508" customWidth="1"/>
    <col min="4101" max="4101" width="14.5" style="508" customWidth="1"/>
    <col min="4102" max="4102" width="19.75" style="508" customWidth="1"/>
    <col min="4103" max="4103" width="20.5" style="508" customWidth="1"/>
    <col min="4104" max="4104" width="15.25" style="508" customWidth="1"/>
    <col min="4105" max="4105" width="15.625" style="508" customWidth="1"/>
    <col min="4106" max="4106" width="15.625" style="508" bestFit="1" customWidth="1"/>
    <col min="4107" max="4107" width="14.875" style="508" customWidth="1"/>
    <col min="4108" max="4108" width="15.625" style="508" bestFit="1" customWidth="1"/>
    <col min="4109" max="4109" width="15" style="508" customWidth="1"/>
    <col min="4110" max="4110" width="15.625" style="508" bestFit="1" customWidth="1"/>
    <col min="4111" max="4111" width="15.875" style="508" customWidth="1"/>
    <col min="4112" max="4112" width="16.25" style="508" customWidth="1"/>
    <col min="4113" max="4113" width="16.75" style="508" customWidth="1"/>
    <col min="4114" max="4114" width="14.875" style="508" customWidth="1"/>
    <col min="4115" max="4115" width="19.625" style="508" bestFit="1" customWidth="1"/>
    <col min="4116" max="4116" width="21.875" style="508" customWidth="1"/>
    <col min="4117" max="4353" width="11" style="508"/>
    <col min="4354" max="4354" width="51" style="508" customWidth="1"/>
    <col min="4355" max="4355" width="19" style="508" customWidth="1"/>
    <col min="4356" max="4356" width="15.375" style="508" customWidth="1"/>
    <col min="4357" max="4357" width="14.5" style="508" customWidth="1"/>
    <col min="4358" max="4358" width="19.75" style="508" customWidth="1"/>
    <col min="4359" max="4359" width="20.5" style="508" customWidth="1"/>
    <col min="4360" max="4360" width="15.25" style="508" customWidth="1"/>
    <col min="4361" max="4361" width="15.625" style="508" customWidth="1"/>
    <col min="4362" max="4362" width="15.625" style="508" bestFit="1" customWidth="1"/>
    <col min="4363" max="4363" width="14.875" style="508" customWidth="1"/>
    <col min="4364" max="4364" width="15.625" style="508" bestFit="1" customWidth="1"/>
    <col min="4365" max="4365" width="15" style="508" customWidth="1"/>
    <col min="4366" max="4366" width="15.625" style="508" bestFit="1" customWidth="1"/>
    <col min="4367" max="4367" width="15.875" style="508" customWidth="1"/>
    <col min="4368" max="4368" width="16.25" style="508" customWidth="1"/>
    <col min="4369" max="4369" width="16.75" style="508" customWidth="1"/>
    <col min="4370" max="4370" width="14.875" style="508" customWidth="1"/>
    <col min="4371" max="4371" width="19.625" style="508" bestFit="1" customWidth="1"/>
    <col min="4372" max="4372" width="21.875" style="508" customWidth="1"/>
    <col min="4373" max="4609" width="11" style="508"/>
    <col min="4610" max="4610" width="51" style="508" customWidth="1"/>
    <col min="4611" max="4611" width="19" style="508" customWidth="1"/>
    <col min="4612" max="4612" width="15.375" style="508" customWidth="1"/>
    <col min="4613" max="4613" width="14.5" style="508" customWidth="1"/>
    <col min="4614" max="4614" width="19.75" style="508" customWidth="1"/>
    <col min="4615" max="4615" width="20.5" style="508" customWidth="1"/>
    <col min="4616" max="4616" width="15.25" style="508" customWidth="1"/>
    <col min="4617" max="4617" width="15.625" style="508" customWidth="1"/>
    <col min="4618" max="4618" width="15.625" style="508" bestFit="1" customWidth="1"/>
    <col min="4619" max="4619" width="14.875" style="508" customWidth="1"/>
    <col min="4620" max="4620" width="15.625" style="508" bestFit="1" customWidth="1"/>
    <col min="4621" max="4621" width="15" style="508" customWidth="1"/>
    <col min="4622" max="4622" width="15.625" style="508" bestFit="1" customWidth="1"/>
    <col min="4623" max="4623" width="15.875" style="508" customWidth="1"/>
    <col min="4624" max="4624" width="16.25" style="508" customWidth="1"/>
    <col min="4625" max="4625" width="16.75" style="508" customWidth="1"/>
    <col min="4626" max="4626" width="14.875" style="508" customWidth="1"/>
    <col min="4627" max="4627" width="19.625" style="508" bestFit="1" customWidth="1"/>
    <col min="4628" max="4628" width="21.875" style="508" customWidth="1"/>
    <col min="4629" max="4865" width="11" style="508"/>
    <col min="4866" max="4866" width="51" style="508" customWidth="1"/>
    <col min="4867" max="4867" width="19" style="508" customWidth="1"/>
    <col min="4868" max="4868" width="15.375" style="508" customWidth="1"/>
    <col min="4869" max="4869" width="14.5" style="508" customWidth="1"/>
    <col min="4870" max="4870" width="19.75" style="508" customWidth="1"/>
    <col min="4871" max="4871" width="20.5" style="508" customWidth="1"/>
    <col min="4872" max="4872" width="15.25" style="508" customWidth="1"/>
    <col min="4873" max="4873" width="15.625" style="508" customWidth="1"/>
    <col min="4874" max="4874" width="15.625" style="508" bestFit="1" customWidth="1"/>
    <col min="4875" max="4875" width="14.875" style="508" customWidth="1"/>
    <col min="4876" max="4876" width="15.625" style="508" bestFit="1" customWidth="1"/>
    <col min="4877" max="4877" width="15" style="508" customWidth="1"/>
    <col min="4878" max="4878" width="15.625" style="508" bestFit="1" customWidth="1"/>
    <col min="4879" max="4879" width="15.875" style="508" customWidth="1"/>
    <col min="4880" max="4880" width="16.25" style="508" customWidth="1"/>
    <col min="4881" max="4881" width="16.75" style="508" customWidth="1"/>
    <col min="4882" max="4882" width="14.875" style="508" customWidth="1"/>
    <col min="4883" max="4883" width="19.625" style="508" bestFit="1" customWidth="1"/>
    <col min="4884" max="4884" width="21.875" style="508" customWidth="1"/>
    <col min="4885" max="5121" width="11" style="508"/>
    <col min="5122" max="5122" width="51" style="508" customWidth="1"/>
    <col min="5123" max="5123" width="19" style="508" customWidth="1"/>
    <col min="5124" max="5124" width="15.375" style="508" customWidth="1"/>
    <col min="5125" max="5125" width="14.5" style="508" customWidth="1"/>
    <col min="5126" max="5126" width="19.75" style="508" customWidth="1"/>
    <col min="5127" max="5127" width="20.5" style="508" customWidth="1"/>
    <col min="5128" max="5128" width="15.25" style="508" customWidth="1"/>
    <col min="5129" max="5129" width="15.625" style="508" customWidth="1"/>
    <col min="5130" max="5130" width="15.625" style="508" bestFit="1" customWidth="1"/>
    <col min="5131" max="5131" width="14.875" style="508" customWidth="1"/>
    <col min="5132" max="5132" width="15.625" style="508" bestFit="1" customWidth="1"/>
    <col min="5133" max="5133" width="15" style="508" customWidth="1"/>
    <col min="5134" max="5134" width="15.625" style="508" bestFit="1" customWidth="1"/>
    <col min="5135" max="5135" width="15.875" style="508" customWidth="1"/>
    <col min="5136" max="5136" width="16.25" style="508" customWidth="1"/>
    <col min="5137" max="5137" width="16.75" style="508" customWidth="1"/>
    <col min="5138" max="5138" width="14.875" style="508" customWidth="1"/>
    <col min="5139" max="5139" width="19.625" style="508" bestFit="1" customWidth="1"/>
    <col min="5140" max="5140" width="21.875" style="508" customWidth="1"/>
    <col min="5141" max="5377" width="11" style="508"/>
    <col min="5378" max="5378" width="51" style="508" customWidth="1"/>
    <col min="5379" max="5379" width="19" style="508" customWidth="1"/>
    <col min="5380" max="5380" width="15.375" style="508" customWidth="1"/>
    <col min="5381" max="5381" width="14.5" style="508" customWidth="1"/>
    <col min="5382" max="5382" width="19.75" style="508" customWidth="1"/>
    <col min="5383" max="5383" width="20.5" style="508" customWidth="1"/>
    <col min="5384" max="5384" width="15.25" style="508" customWidth="1"/>
    <col min="5385" max="5385" width="15.625" style="508" customWidth="1"/>
    <col min="5386" max="5386" width="15.625" style="508" bestFit="1" customWidth="1"/>
    <col min="5387" max="5387" width="14.875" style="508" customWidth="1"/>
    <col min="5388" max="5388" width="15.625" style="508" bestFit="1" customWidth="1"/>
    <col min="5389" max="5389" width="15" style="508" customWidth="1"/>
    <col min="5390" max="5390" width="15.625" style="508" bestFit="1" customWidth="1"/>
    <col min="5391" max="5391" width="15.875" style="508" customWidth="1"/>
    <col min="5392" max="5392" width="16.25" style="508" customWidth="1"/>
    <col min="5393" max="5393" width="16.75" style="508" customWidth="1"/>
    <col min="5394" max="5394" width="14.875" style="508" customWidth="1"/>
    <col min="5395" max="5395" width="19.625" style="508" bestFit="1" customWidth="1"/>
    <col min="5396" max="5396" width="21.875" style="508" customWidth="1"/>
    <col min="5397" max="5633" width="11" style="508"/>
    <col min="5634" max="5634" width="51" style="508" customWidth="1"/>
    <col min="5635" max="5635" width="19" style="508" customWidth="1"/>
    <col min="5636" max="5636" width="15.375" style="508" customWidth="1"/>
    <col min="5637" max="5637" width="14.5" style="508" customWidth="1"/>
    <col min="5638" max="5638" width="19.75" style="508" customWidth="1"/>
    <col min="5639" max="5639" width="20.5" style="508" customWidth="1"/>
    <col min="5640" max="5640" width="15.25" style="508" customWidth="1"/>
    <col min="5641" max="5641" width="15.625" style="508" customWidth="1"/>
    <col min="5642" max="5642" width="15.625" style="508" bestFit="1" customWidth="1"/>
    <col min="5643" max="5643" width="14.875" style="508" customWidth="1"/>
    <col min="5644" max="5644" width="15.625" style="508" bestFit="1" customWidth="1"/>
    <col min="5645" max="5645" width="15" style="508" customWidth="1"/>
    <col min="5646" max="5646" width="15.625" style="508" bestFit="1" customWidth="1"/>
    <col min="5647" max="5647" width="15.875" style="508" customWidth="1"/>
    <col min="5648" max="5648" width="16.25" style="508" customWidth="1"/>
    <col min="5649" max="5649" width="16.75" style="508" customWidth="1"/>
    <col min="5650" max="5650" width="14.875" style="508" customWidth="1"/>
    <col min="5651" max="5651" width="19.625" style="508" bestFit="1" customWidth="1"/>
    <col min="5652" max="5652" width="21.875" style="508" customWidth="1"/>
    <col min="5653" max="5889" width="11" style="508"/>
    <col min="5890" max="5890" width="51" style="508" customWidth="1"/>
    <col min="5891" max="5891" width="19" style="508" customWidth="1"/>
    <col min="5892" max="5892" width="15.375" style="508" customWidth="1"/>
    <col min="5893" max="5893" width="14.5" style="508" customWidth="1"/>
    <col min="5894" max="5894" width="19.75" style="508" customWidth="1"/>
    <col min="5895" max="5895" width="20.5" style="508" customWidth="1"/>
    <col min="5896" max="5896" width="15.25" style="508" customWidth="1"/>
    <col min="5897" max="5897" width="15.625" style="508" customWidth="1"/>
    <col min="5898" max="5898" width="15.625" style="508" bestFit="1" customWidth="1"/>
    <col min="5899" max="5899" width="14.875" style="508" customWidth="1"/>
    <col min="5900" max="5900" width="15.625" style="508" bestFit="1" customWidth="1"/>
    <col min="5901" max="5901" width="15" style="508" customWidth="1"/>
    <col min="5902" max="5902" width="15.625" style="508" bestFit="1" customWidth="1"/>
    <col min="5903" max="5903" width="15.875" style="508" customWidth="1"/>
    <col min="5904" max="5904" width="16.25" style="508" customWidth="1"/>
    <col min="5905" max="5905" width="16.75" style="508" customWidth="1"/>
    <col min="5906" max="5906" width="14.875" style="508" customWidth="1"/>
    <col min="5907" max="5907" width="19.625" style="508" bestFit="1" customWidth="1"/>
    <col min="5908" max="5908" width="21.875" style="508" customWidth="1"/>
    <col min="5909" max="6145" width="11" style="508"/>
    <col min="6146" max="6146" width="51" style="508" customWidth="1"/>
    <col min="6147" max="6147" width="19" style="508" customWidth="1"/>
    <col min="6148" max="6148" width="15.375" style="508" customWidth="1"/>
    <col min="6149" max="6149" width="14.5" style="508" customWidth="1"/>
    <col min="6150" max="6150" width="19.75" style="508" customWidth="1"/>
    <col min="6151" max="6151" width="20.5" style="508" customWidth="1"/>
    <col min="6152" max="6152" width="15.25" style="508" customWidth="1"/>
    <col min="6153" max="6153" width="15.625" style="508" customWidth="1"/>
    <col min="6154" max="6154" width="15.625" style="508" bestFit="1" customWidth="1"/>
    <col min="6155" max="6155" width="14.875" style="508" customWidth="1"/>
    <col min="6156" max="6156" width="15.625" style="508" bestFit="1" customWidth="1"/>
    <col min="6157" max="6157" width="15" style="508" customWidth="1"/>
    <col min="6158" max="6158" width="15.625" style="508" bestFit="1" customWidth="1"/>
    <col min="6159" max="6159" width="15.875" style="508" customWidth="1"/>
    <col min="6160" max="6160" width="16.25" style="508" customWidth="1"/>
    <col min="6161" max="6161" width="16.75" style="508" customWidth="1"/>
    <col min="6162" max="6162" width="14.875" style="508" customWidth="1"/>
    <col min="6163" max="6163" width="19.625" style="508" bestFit="1" customWidth="1"/>
    <col min="6164" max="6164" width="21.875" style="508" customWidth="1"/>
    <col min="6165" max="6401" width="11" style="508"/>
    <col min="6402" max="6402" width="51" style="508" customWidth="1"/>
    <col min="6403" max="6403" width="19" style="508" customWidth="1"/>
    <col min="6404" max="6404" width="15.375" style="508" customWidth="1"/>
    <col min="6405" max="6405" width="14.5" style="508" customWidth="1"/>
    <col min="6406" max="6406" width="19.75" style="508" customWidth="1"/>
    <col min="6407" max="6407" width="20.5" style="508" customWidth="1"/>
    <col min="6408" max="6408" width="15.25" style="508" customWidth="1"/>
    <col min="6409" max="6409" width="15.625" style="508" customWidth="1"/>
    <col min="6410" max="6410" width="15.625" style="508" bestFit="1" customWidth="1"/>
    <col min="6411" max="6411" width="14.875" style="508" customWidth="1"/>
    <col min="6412" max="6412" width="15.625" style="508" bestFit="1" customWidth="1"/>
    <col min="6413" max="6413" width="15" style="508" customWidth="1"/>
    <col min="6414" max="6414" width="15.625" style="508" bestFit="1" customWidth="1"/>
    <col min="6415" max="6415" width="15.875" style="508" customWidth="1"/>
    <col min="6416" max="6416" width="16.25" style="508" customWidth="1"/>
    <col min="6417" max="6417" width="16.75" style="508" customWidth="1"/>
    <col min="6418" max="6418" width="14.875" style="508" customWidth="1"/>
    <col min="6419" max="6419" width="19.625" style="508" bestFit="1" customWidth="1"/>
    <col min="6420" max="6420" width="21.875" style="508" customWidth="1"/>
    <col min="6421" max="6657" width="11" style="508"/>
    <col min="6658" max="6658" width="51" style="508" customWidth="1"/>
    <col min="6659" max="6659" width="19" style="508" customWidth="1"/>
    <col min="6660" max="6660" width="15.375" style="508" customWidth="1"/>
    <col min="6661" max="6661" width="14.5" style="508" customWidth="1"/>
    <col min="6662" max="6662" width="19.75" style="508" customWidth="1"/>
    <col min="6663" max="6663" width="20.5" style="508" customWidth="1"/>
    <col min="6664" max="6664" width="15.25" style="508" customWidth="1"/>
    <col min="6665" max="6665" width="15.625" style="508" customWidth="1"/>
    <col min="6666" max="6666" width="15.625" style="508" bestFit="1" customWidth="1"/>
    <col min="6667" max="6667" width="14.875" style="508" customWidth="1"/>
    <col min="6668" max="6668" width="15.625" style="508" bestFit="1" customWidth="1"/>
    <col min="6669" max="6669" width="15" style="508" customWidth="1"/>
    <col min="6670" max="6670" width="15.625" style="508" bestFit="1" customWidth="1"/>
    <col min="6671" max="6671" width="15.875" style="508" customWidth="1"/>
    <col min="6672" max="6672" width="16.25" style="508" customWidth="1"/>
    <col min="6673" max="6673" width="16.75" style="508" customWidth="1"/>
    <col min="6674" max="6674" width="14.875" style="508" customWidth="1"/>
    <col min="6675" max="6675" width="19.625" style="508" bestFit="1" customWidth="1"/>
    <col min="6676" max="6676" width="21.875" style="508" customWidth="1"/>
    <col min="6677" max="6913" width="11" style="508"/>
    <col min="6914" max="6914" width="51" style="508" customWidth="1"/>
    <col min="6915" max="6915" width="19" style="508" customWidth="1"/>
    <col min="6916" max="6916" width="15.375" style="508" customWidth="1"/>
    <col min="6917" max="6917" width="14.5" style="508" customWidth="1"/>
    <col min="6918" max="6918" width="19.75" style="508" customWidth="1"/>
    <col min="6919" max="6919" width="20.5" style="508" customWidth="1"/>
    <col min="6920" max="6920" width="15.25" style="508" customWidth="1"/>
    <col min="6921" max="6921" width="15.625" style="508" customWidth="1"/>
    <col min="6922" max="6922" width="15.625" style="508" bestFit="1" customWidth="1"/>
    <col min="6923" max="6923" width="14.875" style="508" customWidth="1"/>
    <col min="6924" max="6924" width="15.625" style="508" bestFit="1" customWidth="1"/>
    <col min="6925" max="6925" width="15" style="508" customWidth="1"/>
    <col min="6926" max="6926" width="15.625" style="508" bestFit="1" customWidth="1"/>
    <col min="6927" max="6927" width="15.875" style="508" customWidth="1"/>
    <col min="6928" max="6928" width="16.25" style="508" customWidth="1"/>
    <col min="6929" max="6929" width="16.75" style="508" customWidth="1"/>
    <col min="6930" max="6930" width="14.875" style="508" customWidth="1"/>
    <col min="6931" max="6931" width="19.625" style="508" bestFit="1" customWidth="1"/>
    <col min="6932" max="6932" width="21.875" style="508" customWidth="1"/>
    <col min="6933" max="7169" width="11" style="508"/>
    <col min="7170" max="7170" width="51" style="508" customWidth="1"/>
    <col min="7171" max="7171" width="19" style="508" customWidth="1"/>
    <col min="7172" max="7172" width="15.375" style="508" customWidth="1"/>
    <col min="7173" max="7173" width="14.5" style="508" customWidth="1"/>
    <col min="7174" max="7174" width="19.75" style="508" customWidth="1"/>
    <col min="7175" max="7175" width="20.5" style="508" customWidth="1"/>
    <col min="7176" max="7176" width="15.25" style="508" customWidth="1"/>
    <col min="7177" max="7177" width="15.625" style="508" customWidth="1"/>
    <col min="7178" max="7178" width="15.625" style="508" bestFit="1" customWidth="1"/>
    <col min="7179" max="7179" width="14.875" style="508" customWidth="1"/>
    <col min="7180" max="7180" width="15.625" style="508" bestFit="1" customWidth="1"/>
    <col min="7181" max="7181" width="15" style="508" customWidth="1"/>
    <col min="7182" max="7182" width="15.625" style="508" bestFit="1" customWidth="1"/>
    <col min="7183" max="7183" width="15.875" style="508" customWidth="1"/>
    <col min="7184" max="7184" width="16.25" style="508" customWidth="1"/>
    <col min="7185" max="7185" width="16.75" style="508" customWidth="1"/>
    <col min="7186" max="7186" width="14.875" style="508" customWidth="1"/>
    <col min="7187" max="7187" width="19.625" style="508" bestFit="1" customWidth="1"/>
    <col min="7188" max="7188" width="21.875" style="508" customWidth="1"/>
    <col min="7189" max="7425" width="11" style="508"/>
    <col min="7426" max="7426" width="51" style="508" customWidth="1"/>
    <col min="7427" max="7427" width="19" style="508" customWidth="1"/>
    <col min="7428" max="7428" width="15.375" style="508" customWidth="1"/>
    <col min="7429" max="7429" width="14.5" style="508" customWidth="1"/>
    <col min="7430" max="7430" width="19.75" style="508" customWidth="1"/>
    <col min="7431" max="7431" width="20.5" style="508" customWidth="1"/>
    <col min="7432" max="7432" width="15.25" style="508" customWidth="1"/>
    <col min="7433" max="7433" width="15.625" style="508" customWidth="1"/>
    <col min="7434" max="7434" width="15.625" style="508" bestFit="1" customWidth="1"/>
    <col min="7435" max="7435" width="14.875" style="508" customWidth="1"/>
    <col min="7436" max="7436" width="15.625" style="508" bestFit="1" customWidth="1"/>
    <col min="7437" max="7437" width="15" style="508" customWidth="1"/>
    <col min="7438" max="7438" width="15.625" style="508" bestFit="1" customWidth="1"/>
    <col min="7439" max="7439" width="15.875" style="508" customWidth="1"/>
    <col min="7440" max="7440" width="16.25" style="508" customWidth="1"/>
    <col min="7441" max="7441" width="16.75" style="508" customWidth="1"/>
    <col min="7442" max="7442" width="14.875" style="508" customWidth="1"/>
    <col min="7443" max="7443" width="19.625" style="508" bestFit="1" customWidth="1"/>
    <col min="7444" max="7444" width="21.875" style="508" customWidth="1"/>
    <col min="7445" max="7681" width="11" style="508"/>
    <col min="7682" max="7682" width="51" style="508" customWidth="1"/>
    <col min="7683" max="7683" width="19" style="508" customWidth="1"/>
    <col min="7684" max="7684" width="15.375" style="508" customWidth="1"/>
    <col min="7685" max="7685" width="14.5" style="508" customWidth="1"/>
    <col min="7686" max="7686" width="19.75" style="508" customWidth="1"/>
    <col min="7687" max="7687" width="20.5" style="508" customWidth="1"/>
    <col min="7688" max="7688" width="15.25" style="508" customWidth="1"/>
    <col min="7689" max="7689" width="15.625" style="508" customWidth="1"/>
    <col min="7690" max="7690" width="15.625" style="508" bestFit="1" customWidth="1"/>
    <col min="7691" max="7691" width="14.875" style="508" customWidth="1"/>
    <col min="7692" max="7692" width="15.625" style="508" bestFit="1" customWidth="1"/>
    <col min="7693" max="7693" width="15" style="508" customWidth="1"/>
    <col min="7694" max="7694" width="15.625" style="508" bestFit="1" customWidth="1"/>
    <col min="7695" max="7695" width="15.875" style="508" customWidth="1"/>
    <col min="7696" max="7696" width="16.25" style="508" customWidth="1"/>
    <col min="7697" max="7697" width="16.75" style="508" customWidth="1"/>
    <col min="7698" max="7698" width="14.875" style="508" customWidth="1"/>
    <col min="7699" max="7699" width="19.625" style="508" bestFit="1" customWidth="1"/>
    <col min="7700" max="7700" width="21.875" style="508" customWidth="1"/>
    <col min="7701" max="7937" width="11" style="508"/>
    <col min="7938" max="7938" width="51" style="508" customWidth="1"/>
    <col min="7939" max="7939" width="19" style="508" customWidth="1"/>
    <col min="7940" max="7940" width="15.375" style="508" customWidth="1"/>
    <col min="7941" max="7941" width="14.5" style="508" customWidth="1"/>
    <col min="7942" max="7942" width="19.75" style="508" customWidth="1"/>
    <col min="7943" max="7943" width="20.5" style="508" customWidth="1"/>
    <col min="7944" max="7944" width="15.25" style="508" customWidth="1"/>
    <col min="7945" max="7945" width="15.625" style="508" customWidth="1"/>
    <col min="7946" max="7946" width="15.625" style="508" bestFit="1" customWidth="1"/>
    <col min="7947" max="7947" width="14.875" style="508" customWidth="1"/>
    <col min="7948" max="7948" width="15.625" style="508" bestFit="1" customWidth="1"/>
    <col min="7949" max="7949" width="15" style="508" customWidth="1"/>
    <col min="7950" max="7950" width="15.625" style="508" bestFit="1" customWidth="1"/>
    <col min="7951" max="7951" width="15.875" style="508" customWidth="1"/>
    <col min="7952" max="7952" width="16.25" style="508" customWidth="1"/>
    <col min="7953" max="7953" width="16.75" style="508" customWidth="1"/>
    <col min="7954" max="7954" width="14.875" style="508" customWidth="1"/>
    <col min="7955" max="7955" width="19.625" style="508" bestFit="1" customWidth="1"/>
    <col min="7956" max="7956" width="21.875" style="508" customWidth="1"/>
    <col min="7957" max="8193" width="11" style="508"/>
    <col min="8194" max="8194" width="51" style="508" customWidth="1"/>
    <col min="8195" max="8195" width="19" style="508" customWidth="1"/>
    <col min="8196" max="8196" width="15.375" style="508" customWidth="1"/>
    <col min="8197" max="8197" width="14.5" style="508" customWidth="1"/>
    <col min="8198" max="8198" width="19.75" style="508" customWidth="1"/>
    <col min="8199" max="8199" width="20.5" style="508" customWidth="1"/>
    <col min="8200" max="8200" width="15.25" style="508" customWidth="1"/>
    <col min="8201" max="8201" width="15.625" style="508" customWidth="1"/>
    <col min="8202" max="8202" width="15.625" style="508" bestFit="1" customWidth="1"/>
    <col min="8203" max="8203" width="14.875" style="508" customWidth="1"/>
    <col min="8204" max="8204" width="15.625" style="508" bestFit="1" customWidth="1"/>
    <col min="8205" max="8205" width="15" style="508" customWidth="1"/>
    <col min="8206" max="8206" width="15.625" style="508" bestFit="1" customWidth="1"/>
    <col min="8207" max="8207" width="15.875" style="508" customWidth="1"/>
    <col min="8208" max="8208" width="16.25" style="508" customWidth="1"/>
    <col min="8209" max="8209" width="16.75" style="508" customWidth="1"/>
    <col min="8210" max="8210" width="14.875" style="508" customWidth="1"/>
    <col min="8211" max="8211" width="19.625" style="508" bestFit="1" customWidth="1"/>
    <col min="8212" max="8212" width="21.875" style="508" customWidth="1"/>
    <col min="8213" max="8449" width="11" style="508"/>
    <col min="8450" max="8450" width="51" style="508" customWidth="1"/>
    <col min="8451" max="8451" width="19" style="508" customWidth="1"/>
    <col min="8452" max="8452" width="15.375" style="508" customWidth="1"/>
    <col min="8453" max="8453" width="14.5" style="508" customWidth="1"/>
    <col min="8454" max="8454" width="19.75" style="508" customWidth="1"/>
    <col min="8455" max="8455" width="20.5" style="508" customWidth="1"/>
    <col min="8456" max="8456" width="15.25" style="508" customWidth="1"/>
    <col min="8457" max="8457" width="15.625" style="508" customWidth="1"/>
    <col min="8458" max="8458" width="15.625" style="508" bestFit="1" customWidth="1"/>
    <col min="8459" max="8459" width="14.875" style="508" customWidth="1"/>
    <col min="8460" max="8460" width="15.625" style="508" bestFit="1" customWidth="1"/>
    <col min="8461" max="8461" width="15" style="508" customWidth="1"/>
    <col min="8462" max="8462" width="15.625" style="508" bestFit="1" customWidth="1"/>
    <col min="8463" max="8463" width="15.875" style="508" customWidth="1"/>
    <col min="8464" max="8464" width="16.25" style="508" customWidth="1"/>
    <col min="8465" max="8465" width="16.75" style="508" customWidth="1"/>
    <col min="8466" max="8466" width="14.875" style="508" customWidth="1"/>
    <col min="8467" max="8467" width="19.625" style="508" bestFit="1" customWidth="1"/>
    <col min="8468" max="8468" width="21.875" style="508" customWidth="1"/>
    <col min="8469" max="8705" width="11" style="508"/>
    <col min="8706" max="8706" width="51" style="508" customWidth="1"/>
    <col min="8707" max="8707" width="19" style="508" customWidth="1"/>
    <col min="8708" max="8708" width="15.375" style="508" customWidth="1"/>
    <col min="8709" max="8709" width="14.5" style="508" customWidth="1"/>
    <col min="8710" max="8710" width="19.75" style="508" customWidth="1"/>
    <col min="8711" max="8711" width="20.5" style="508" customWidth="1"/>
    <col min="8712" max="8712" width="15.25" style="508" customWidth="1"/>
    <col min="8713" max="8713" width="15.625" style="508" customWidth="1"/>
    <col min="8714" max="8714" width="15.625" style="508" bestFit="1" customWidth="1"/>
    <col min="8715" max="8715" width="14.875" style="508" customWidth="1"/>
    <col min="8716" max="8716" width="15.625" style="508" bestFit="1" customWidth="1"/>
    <col min="8717" max="8717" width="15" style="508" customWidth="1"/>
    <col min="8718" max="8718" width="15.625" style="508" bestFit="1" customWidth="1"/>
    <col min="8719" max="8719" width="15.875" style="508" customWidth="1"/>
    <col min="8720" max="8720" width="16.25" style="508" customWidth="1"/>
    <col min="8721" max="8721" width="16.75" style="508" customWidth="1"/>
    <col min="8722" max="8722" width="14.875" style="508" customWidth="1"/>
    <col min="8723" max="8723" width="19.625" style="508" bestFit="1" customWidth="1"/>
    <col min="8724" max="8724" width="21.875" style="508" customWidth="1"/>
    <col min="8725" max="8961" width="11" style="508"/>
    <col min="8962" max="8962" width="51" style="508" customWidth="1"/>
    <col min="8963" max="8963" width="19" style="508" customWidth="1"/>
    <col min="8964" max="8964" width="15.375" style="508" customWidth="1"/>
    <col min="8965" max="8965" width="14.5" style="508" customWidth="1"/>
    <col min="8966" max="8966" width="19.75" style="508" customWidth="1"/>
    <col min="8967" max="8967" width="20.5" style="508" customWidth="1"/>
    <col min="8968" max="8968" width="15.25" style="508" customWidth="1"/>
    <col min="8969" max="8969" width="15.625" style="508" customWidth="1"/>
    <col min="8970" max="8970" width="15.625" style="508" bestFit="1" customWidth="1"/>
    <col min="8971" max="8971" width="14.875" style="508" customWidth="1"/>
    <col min="8972" max="8972" width="15.625" style="508" bestFit="1" customWidth="1"/>
    <col min="8973" max="8973" width="15" style="508" customWidth="1"/>
    <col min="8974" max="8974" width="15.625" style="508" bestFit="1" customWidth="1"/>
    <col min="8975" max="8975" width="15.875" style="508" customWidth="1"/>
    <col min="8976" max="8976" width="16.25" style="508" customWidth="1"/>
    <col min="8977" max="8977" width="16.75" style="508" customWidth="1"/>
    <col min="8978" max="8978" width="14.875" style="508" customWidth="1"/>
    <col min="8979" max="8979" width="19.625" style="508" bestFit="1" customWidth="1"/>
    <col min="8980" max="8980" width="21.875" style="508" customWidth="1"/>
    <col min="8981" max="9217" width="11" style="508"/>
    <col min="9218" max="9218" width="51" style="508" customWidth="1"/>
    <col min="9219" max="9219" width="19" style="508" customWidth="1"/>
    <col min="9220" max="9220" width="15.375" style="508" customWidth="1"/>
    <col min="9221" max="9221" width="14.5" style="508" customWidth="1"/>
    <col min="9222" max="9222" width="19.75" style="508" customWidth="1"/>
    <col min="9223" max="9223" width="20.5" style="508" customWidth="1"/>
    <col min="9224" max="9224" width="15.25" style="508" customWidth="1"/>
    <col min="9225" max="9225" width="15.625" style="508" customWidth="1"/>
    <col min="9226" max="9226" width="15.625" style="508" bestFit="1" customWidth="1"/>
    <col min="9227" max="9227" width="14.875" style="508" customWidth="1"/>
    <col min="9228" max="9228" width="15.625" style="508" bestFit="1" customWidth="1"/>
    <col min="9229" max="9229" width="15" style="508" customWidth="1"/>
    <col min="9230" max="9230" width="15.625" style="508" bestFit="1" customWidth="1"/>
    <col min="9231" max="9231" width="15.875" style="508" customWidth="1"/>
    <col min="9232" max="9232" width="16.25" style="508" customWidth="1"/>
    <col min="9233" max="9233" width="16.75" style="508" customWidth="1"/>
    <col min="9234" max="9234" width="14.875" style="508" customWidth="1"/>
    <col min="9235" max="9235" width="19.625" style="508" bestFit="1" customWidth="1"/>
    <col min="9236" max="9236" width="21.875" style="508" customWidth="1"/>
    <col min="9237" max="9473" width="11" style="508"/>
    <col min="9474" max="9474" width="51" style="508" customWidth="1"/>
    <col min="9475" max="9475" width="19" style="508" customWidth="1"/>
    <col min="9476" max="9476" width="15.375" style="508" customWidth="1"/>
    <col min="9477" max="9477" width="14.5" style="508" customWidth="1"/>
    <col min="9478" max="9478" width="19.75" style="508" customWidth="1"/>
    <col min="9479" max="9479" width="20.5" style="508" customWidth="1"/>
    <col min="9480" max="9480" width="15.25" style="508" customWidth="1"/>
    <col min="9481" max="9481" width="15.625" style="508" customWidth="1"/>
    <col min="9482" max="9482" width="15.625" style="508" bestFit="1" customWidth="1"/>
    <col min="9483" max="9483" width="14.875" style="508" customWidth="1"/>
    <col min="9484" max="9484" width="15.625" style="508" bestFit="1" customWidth="1"/>
    <col min="9485" max="9485" width="15" style="508" customWidth="1"/>
    <col min="9486" max="9486" width="15.625" style="508" bestFit="1" customWidth="1"/>
    <col min="9487" max="9487" width="15.875" style="508" customWidth="1"/>
    <col min="9488" max="9488" width="16.25" style="508" customWidth="1"/>
    <col min="9489" max="9489" width="16.75" style="508" customWidth="1"/>
    <col min="9490" max="9490" width="14.875" style="508" customWidth="1"/>
    <col min="9491" max="9491" width="19.625" style="508" bestFit="1" customWidth="1"/>
    <col min="9492" max="9492" width="21.875" style="508" customWidth="1"/>
    <col min="9493" max="9729" width="11" style="508"/>
    <col min="9730" max="9730" width="51" style="508" customWidth="1"/>
    <col min="9731" max="9731" width="19" style="508" customWidth="1"/>
    <col min="9732" max="9732" width="15.375" style="508" customWidth="1"/>
    <col min="9733" max="9733" width="14.5" style="508" customWidth="1"/>
    <col min="9734" max="9734" width="19.75" style="508" customWidth="1"/>
    <col min="9735" max="9735" width="20.5" style="508" customWidth="1"/>
    <col min="9736" max="9736" width="15.25" style="508" customWidth="1"/>
    <col min="9737" max="9737" width="15.625" style="508" customWidth="1"/>
    <col min="9738" max="9738" width="15.625" style="508" bestFit="1" customWidth="1"/>
    <col min="9739" max="9739" width="14.875" style="508" customWidth="1"/>
    <col min="9740" max="9740" width="15.625" style="508" bestFit="1" customWidth="1"/>
    <col min="9741" max="9741" width="15" style="508" customWidth="1"/>
    <col min="9742" max="9742" width="15.625" style="508" bestFit="1" customWidth="1"/>
    <col min="9743" max="9743" width="15.875" style="508" customWidth="1"/>
    <col min="9744" max="9744" width="16.25" style="508" customWidth="1"/>
    <col min="9745" max="9745" width="16.75" style="508" customWidth="1"/>
    <col min="9746" max="9746" width="14.875" style="508" customWidth="1"/>
    <col min="9747" max="9747" width="19.625" style="508" bestFit="1" customWidth="1"/>
    <col min="9748" max="9748" width="21.875" style="508" customWidth="1"/>
    <col min="9749" max="9985" width="11" style="508"/>
    <col min="9986" max="9986" width="51" style="508" customWidth="1"/>
    <col min="9987" max="9987" width="19" style="508" customWidth="1"/>
    <col min="9988" max="9988" width="15.375" style="508" customWidth="1"/>
    <col min="9989" max="9989" width="14.5" style="508" customWidth="1"/>
    <col min="9990" max="9990" width="19.75" style="508" customWidth="1"/>
    <col min="9991" max="9991" width="20.5" style="508" customWidth="1"/>
    <col min="9992" max="9992" width="15.25" style="508" customWidth="1"/>
    <col min="9993" max="9993" width="15.625" style="508" customWidth="1"/>
    <col min="9994" max="9994" width="15.625" style="508" bestFit="1" customWidth="1"/>
    <col min="9995" max="9995" width="14.875" style="508" customWidth="1"/>
    <col min="9996" max="9996" width="15.625" style="508" bestFit="1" customWidth="1"/>
    <col min="9997" max="9997" width="15" style="508" customWidth="1"/>
    <col min="9998" max="9998" width="15.625" style="508" bestFit="1" customWidth="1"/>
    <col min="9999" max="9999" width="15.875" style="508" customWidth="1"/>
    <col min="10000" max="10000" width="16.25" style="508" customWidth="1"/>
    <col min="10001" max="10001" width="16.75" style="508" customWidth="1"/>
    <col min="10002" max="10002" width="14.875" style="508" customWidth="1"/>
    <col min="10003" max="10003" width="19.625" style="508" bestFit="1" customWidth="1"/>
    <col min="10004" max="10004" width="21.875" style="508" customWidth="1"/>
    <col min="10005" max="10241" width="11" style="508"/>
    <col min="10242" max="10242" width="51" style="508" customWidth="1"/>
    <col min="10243" max="10243" width="19" style="508" customWidth="1"/>
    <col min="10244" max="10244" width="15.375" style="508" customWidth="1"/>
    <col min="10245" max="10245" width="14.5" style="508" customWidth="1"/>
    <col min="10246" max="10246" width="19.75" style="508" customWidth="1"/>
    <col min="10247" max="10247" width="20.5" style="508" customWidth="1"/>
    <col min="10248" max="10248" width="15.25" style="508" customWidth="1"/>
    <col min="10249" max="10249" width="15.625" style="508" customWidth="1"/>
    <col min="10250" max="10250" width="15.625" style="508" bestFit="1" customWidth="1"/>
    <col min="10251" max="10251" width="14.875" style="508" customWidth="1"/>
    <col min="10252" max="10252" width="15.625" style="508" bestFit="1" customWidth="1"/>
    <col min="10253" max="10253" width="15" style="508" customWidth="1"/>
    <col min="10254" max="10254" width="15.625" style="508" bestFit="1" customWidth="1"/>
    <col min="10255" max="10255" width="15.875" style="508" customWidth="1"/>
    <col min="10256" max="10256" width="16.25" style="508" customWidth="1"/>
    <col min="10257" max="10257" width="16.75" style="508" customWidth="1"/>
    <col min="10258" max="10258" width="14.875" style="508" customWidth="1"/>
    <col min="10259" max="10259" width="19.625" style="508" bestFit="1" customWidth="1"/>
    <col min="10260" max="10260" width="21.875" style="508" customWidth="1"/>
    <col min="10261" max="10497" width="11" style="508"/>
    <col min="10498" max="10498" width="51" style="508" customWidth="1"/>
    <col min="10499" max="10499" width="19" style="508" customWidth="1"/>
    <col min="10500" max="10500" width="15.375" style="508" customWidth="1"/>
    <col min="10501" max="10501" width="14.5" style="508" customWidth="1"/>
    <col min="10502" max="10502" width="19.75" style="508" customWidth="1"/>
    <col min="10503" max="10503" width="20.5" style="508" customWidth="1"/>
    <col min="10504" max="10504" width="15.25" style="508" customWidth="1"/>
    <col min="10505" max="10505" width="15.625" style="508" customWidth="1"/>
    <col min="10506" max="10506" width="15.625" style="508" bestFit="1" customWidth="1"/>
    <col min="10507" max="10507" width="14.875" style="508" customWidth="1"/>
    <col min="10508" max="10508" width="15.625" style="508" bestFit="1" customWidth="1"/>
    <col min="10509" max="10509" width="15" style="508" customWidth="1"/>
    <col min="10510" max="10510" width="15.625" style="508" bestFit="1" customWidth="1"/>
    <col min="10511" max="10511" width="15.875" style="508" customWidth="1"/>
    <col min="10512" max="10512" width="16.25" style="508" customWidth="1"/>
    <col min="10513" max="10513" width="16.75" style="508" customWidth="1"/>
    <col min="10514" max="10514" width="14.875" style="508" customWidth="1"/>
    <col min="10515" max="10515" width="19.625" style="508" bestFit="1" customWidth="1"/>
    <col min="10516" max="10516" width="21.875" style="508" customWidth="1"/>
    <col min="10517" max="10753" width="11" style="508"/>
    <col min="10754" max="10754" width="51" style="508" customWidth="1"/>
    <col min="10755" max="10755" width="19" style="508" customWidth="1"/>
    <col min="10756" max="10756" width="15.375" style="508" customWidth="1"/>
    <col min="10757" max="10757" width="14.5" style="508" customWidth="1"/>
    <col min="10758" max="10758" width="19.75" style="508" customWidth="1"/>
    <col min="10759" max="10759" width="20.5" style="508" customWidth="1"/>
    <col min="10760" max="10760" width="15.25" style="508" customWidth="1"/>
    <col min="10761" max="10761" width="15.625" style="508" customWidth="1"/>
    <col min="10762" max="10762" width="15.625" style="508" bestFit="1" customWidth="1"/>
    <col min="10763" max="10763" width="14.875" style="508" customWidth="1"/>
    <col min="10764" max="10764" width="15.625" style="508" bestFit="1" customWidth="1"/>
    <col min="10765" max="10765" width="15" style="508" customWidth="1"/>
    <col min="10766" max="10766" width="15.625" style="508" bestFit="1" customWidth="1"/>
    <col min="10767" max="10767" width="15.875" style="508" customWidth="1"/>
    <col min="10768" max="10768" width="16.25" style="508" customWidth="1"/>
    <col min="10769" max="10769" width="16.75" style="508" customWidth="1"/>
    <col min="10770" max="10770" width="14.875" style="508" customWidth="1"/>
    <col min="10771" max="10771" width="19.625" style="508" bestFit="1" customWidth="1"/>
    <col min="10772" max="10772" width="21.875" style="508" customWidth="1"/>
    <col min="10773" max="11009" width="11" style="508"/>
    <col min="11010" max="11010" width="51" style="508" customWidth="1"/>
    <col min="11011" max="11011" width="19" style="508" customWidth="1"/>
    <col min="11012" max="11012" width="15.375" style="508" customWidth="1"/>
    <col min="11013" max="11013" width="14.5" style="508" customWidth="1"/>
    <col min="11014" max="11014" width="19.75" style="508" customWidth="1"/>
    <col min="11015" max="11015" width="20.5" style="508" customWidth="1"/>
    <col min="11016" max="11016" width="15.25" style="508" customWidth="1"/>
    <col min="11017" max="11017" width="15.625" style="508" customWidth="1"/>
    <col min="11018" max="11018" width="15.625" style="508" bestFit="1" customWidth="1"/>
    <col min="11019" max="11019" width="14.875" style="508" customWidth="1"/>
    <col min="11020" max="11020" width="15.625" style="508" bestFit="1" customWidth="1"/>
    <col min="11021" max="11021" width="15" style="508" customWidth="1"/>
    <col min="11022" max="11022" width="15.625" style="508" bestFit="1" customWidth="1"/>
    <col min="11023" max="11023" width="15.875" style="508" customWidth="1"/>
    <col min="11024" max="11024" width="16.25" style="508" customWidth="1"/>
    <col min="11025" max="11025" width="16.75" style="508" customWidth="1"/>
    <col min="11026" max="11026" width="14.875" style="508" customWidth="1"/>
    <col min="11027" max="11027" width="19.625" style="508" bestFit="1" customWidth="1"/>
    <col min="11028" max="11028" width="21.875" style="508" customWidth="1"/>
    <col min="11029" max="11265" width="11" style="508"/>
    <col min="11266" max="11266" width="51" style="508" customWidth="1"/>
    <col min="11267" max="11267" width="19" style="508" customWidth="1"/>
    <col min="11268" max="11268" width="15.375" style="508" customWidth="1"/>
    <col min="11269" max="11269" width="14.5" style="508" customWidth="1"/>
    <col min="11270" max="11270" width="19.75" style="508" customWidth="1"/>
    <col min="11271" max="11271" width="20.5" style="508" customWidth="1"/>
    <col min="11272" max="11272" width="15.25" style="508" customWidth="1"/>
    <col min="11273" max="11273" width="15.625" style="508" customWidth="1"/>
    <col min="11274" max="11274" width="15.625" style="508" bestFit="1" customWidth="1"/>
    <col min="11275" max="11275" width="14.875" style="508" customWidth="1"/>
    <col min="11276" max="11276" width="15.625" style="508" bestFit="1" customWidth="1"/>
    <col min="11277" max="11277" width="15" style="508" customWidth="1"/>
    <col min="11278" max="11278" width="15.625" style="508" bestFit="1" customWidth="1"/>
    <col min="11279" max="11279" width="15.875" style="508" customWidth="1"/>
    <col min="11280" max="11280" width="16.25" style="508" customWidth="1"/>
    <col min="11281" max="11281" width="16.75" style="508" customWidth="1"/>
    <col min="11282" max="11282" width="14.875" style="508" customWidth="1"/>
    <col min="11283" max="11283" width="19.625" style="508" bestFit="1" customWidth="1"/>
    <col min="11284" max="11284" width="21.875" style="508" customWidth="1"/>
    <col min="11285" max="11521" width="11" style="508"/>
    <col min="11522" max="11522" width="51" style="508" customWidth="1"/>
    <col min="11523" max="11523" width="19" style="508" customWidth="1"/>
    <col min="11524" max="11524" width="15.375" style="508" customWidth="1"/>
    <col min="11525" max="11525" width="14.5" style="508" customWidth="1"/>
    <col min="11526" max="11526" width="19.75" style="508" customWidth="1"/>
    <col min="11527" max="11527" width="20.5" style="508" customWidth="1"/>
    <col min="11528" max="11528" width="15.25" style="508" customWidth="1"/>
    <col min="11529" max="11529" width="15.625" style="508" customWidth="1"/>
    <col min="11530" max="11530" width="15.625" style="508" bestFit="1" customWidth="1"/>
    <col min="11531" max="11531" width="14.875" style="508" customWidth="1"/>
    <col min="11532" max="11532" width="15.625" style="508" bestFit="1" customWidth="1"/>
    <col min="11533" max="11533" width="15" style="508" customWidth="1"/>
    <col min="11534" max="11534" width="15.625" style="508" bestFit="1" customWidth="1"/>
    <col min="11535" max="11535" width="15.875" style="508" customWidth="1"/>
    <col min="11536" max="11536" width="16.25" style="508" customWidth="1"/>
    <col min="11537" max="11537" width="16.75" style="508" customWidth="1"/>
    <col min="11538" max="11538" width="14.875" style="508" customWidth="1"/>
    <col min="11539" max="11539" width="19.625" style="508" bestFit="1" customWidth="1"/>
    <col min="11540" max="11540" width="21.875" style="508" customWidth="1"/>
    <col min="11541" max="11777" width="11" style="508"/>
    <col min="11778" max="11778" width="51" style="508" customWidth="1"/>
    <col min="11779" max="11779" width="19" style="508" customWidth="1"/>
    <col min="11780" max="11780" width="15.375" style="508" customWidth="1"/>
    <col min="11781" max="11781" width="14.5" style="508" customWidth="1"/>
    <col min="11782" max="11782" width="19.75" style="508" customWidth="1"/>
    <col min="11783" max="11783" width="20.5" style="508" customWidth="1"/>
    <col min="11784" max="11784" width="15.25" style="508" customWidth="1"/>
    <col min="11785" max="11785" width="15.625" style="508" customWidth="1"/>
    <col min="11786" max="11786" width="15.625" style="508" bestFit="1" customWidth="1"/>
    <col min="11787" max="11787" width="14.875" style="508" customWidth="1"/>
    <col min="11788" max="11788" width="15.625" style="508" bestFit="1" customWidth="1"/>
    <col min="11789" max="11789" width="15" style="508" customWidth="1"/>
    <col min="11790" max="11790" width="15.625" style="508" bestFit="1" customWidth="1"/>
    <col min="11791" max="11791" width="15.875" style="508" customWidth="1"/>
    <col min="11792" max="11792" width="16.25" style="508" customWidth="1"/>
    <col min="11793" max="11793" width="16.75" style="508" customWidth="1"/>
    <col min="11794" max="11794" width="14.875" style="508" customWidth="1"/>
    <col min="11795" max="11795" width="19.625" style="508" bestFit="1" customWidth="1"/>
    <col min="11796" max="11796" width="21.875" style="508" customWidth="1"/>
    <col min="11797" max="12033" width="11" style="508"/>
    <col min="12034" max="12034" width="51" style="508" customWidth="1"/>
    <col min="12035" max="12035" width="19" style="508" customWidth="1"/>
    <col min="12036" max="12036" width="15.375" style="508" customWidth="1"/>
    <col min="12037" max="12037" width="14.5" style="508" customWidth="1"/>
    <col min="12038" max="12038" width="19.75" style="508" customWidth="1"/>
    <col min="12039" max="12039" width="20.5" style="508" customWidth="1"/>
    <col min="12040" max="12040" width="15.25" style="508" customWidth="1"/>
    <col min="12041" max="12041" width="15.625" style="508" customWidth="1"/>
    <col min="12042" max="12042" width="15.625" style="508" bestFit="1" customWidth="1"/>
    <col min="12043" max="12043" width="14.875" style="508" customWidth="1"/>
    <col min="12044" max="12044" width="15.625" style="508" bestFit="1" customWidth="1"/>
    <col min="12045" max="12045" width="15" style="508" customWidth="1"/>
    <col min="12046" max="12046" width="15.625" style="508" bestFit="1" customWidth="1"/>
    <col min="12047" max="12047" width="15.875" style="508" customWidth="1"/>
    <col min="12048" max="12048" width="16.25" style="508" customWidth="1"/>
    <col min="12049" max="12049" width="16.75" style="508" customWidth="1"/>
    <col min="12050" max="12050" width="14.875" style="508" customWidth="1"/>
    <col min="12051" max="12051" width="19.625" style="508" bestFit="1" customWidth="1"/>
    <col min="12052" max="12052" width="21.875" style="508" customWidth="1"/>
    <col min="12053" max="12289" width="11" style="508"/>
    <col min="12290" max="12290" width="51" style="508" customWidth="1"/>
    <col min="12291" max="12291" width="19" style="508" customWidth="1"/>
    <col min="12292" max="12292" width="15.375" style="508" customWidth="1"/>
    <col min="12293" max="12293" width="14.5" style="508" customWidth="1"/>
    <col min="12294" max="12294" width="19.75" style="508" customWidth="1"/>
    <col min="12295" max="12295" width="20.5" style="508" customWidth="1"/>
    <col min="12296" max="12296" width="15.25" style="508" customWidth="1"/>
    <col min="12297" max="12297" width="15.625" style="508" customWidth="1"/>
    <col min="12298" max="12298" width="15.625" style="508" bestFit="1" customWidth="1"/>
    <col min="12299" max="12299" width="14.875" style="508" customWidth="1"/>
    <col min="12300" max="12300" width="15.625" style="508" bestFit="1" customWidth="1"/>
    <col min="12301" max="12301" width="15" style="508" customWidth="1"/>
    <col min="12302" max="12302" width="15.625" style="508" bestFit="1" customWidth="1"/>
    <col min="12303" max="12303" width="15.875" style="508" customWidth="1"/>
    <col min="12304" max="12304" width="16.25" style="508" customWidth="1"/>
    <col min="12305" max="12305" width="16.75" style="508" customWidth="1"/>
    <col min="12306" max="12306" width="14.875" style="508" customWidth="1"/>
    <col min="12307" max="12307" width="19.625" style="508" bestFit="1" customWidth="1"/>
    <col min="12308" max="12308" width="21.875" style="508" customWidth="1"/>
    <col min="12309" max="12545" width="11" style="508"/>
    <col min="12546" max="12546" width="51" style="508" customWidth="1"/>
    <col min="12547" max="12547" width="19" style="508" customWidth="1"/>
    <col min="12548" max="12548" width="15.375" style="508" customWidth="1"/>
    <col min="12549" max="12549" width="14.5" style="508" customWidth="1"/>
    <col min="12550" max="12550" width="19.75" style="508" customWidth="1"/>
    <col min="12551" max="12551" width="20.5" style="508" customWidth="1"/>
    <col min="12552" max="12552" width="15.25" style="508" customWidth="1"/>
    <col min="12553" max="12553" width="15.625" style="508" customWidth="1"/>
    <col min="12554" max="12554" width="15.625" style="508" bestFit="1" customWidth="1"/>
    <col min="12555" max="12555" width="14.875" style="508" customWidth="1"/>
    <col min="12556" max="12556" width="15.625" style="508" bestFit="1" customWidth="1"/>
    <col min="12557" max="12557" width="15" style="508" customWidth="1"/>
    <col min="12558" max="12558" width="15.625" style="508" bestFit="1" customWidth="1"/>
    <col min="12559" max="12559" width="15.875" style="508" customWidth="1"/>
    <col min="12560" max="12560" width="16.25" style="508" customWidth="1"/>
    <col min="12561" max="12561" width="16.75" style="508" customWidth="1"/>
    <col min="12562" max="12562" width="14.875" style="508" customWidth="1"/>
    <col min="12563" max="12563" width="19.625" style="508" bestFit="1" customWidth="1"/>
    <col min="12564" max="12564" width="21.875" style="508" customWidth="1"/>
    <col min="12565" max="12801" width="11" style="508"/>
    <col min="12802" max="12802" width="51" style="508" customWidth="1"/>
    <col min="12803" max="12803" width="19" style="508" customWidth="1"/>
    <col min="12804" max="12804" width="15.375" style="508" customWidth="1"/>
    <col min="12805" max="12805" width="14.5" style="508" customWidth="1"/>
    <col min="12806" max="12806" width="19.75" style="508" customWidth="1"/>
    <col min="12807" max="12807" width="20.5" style="508" customWidth="1"/>
    <col min="12808" max="12808" width="15.25" style="508" customWidth="1"/>
    <col min="12809" max="12809" width="15.625" style="508" customWidth="1"/>
    <col min="12810" max="12810" width="15.625" style="508" bestFit="1" customWidth="1"/>
    <col min="12811" max="12811" width="14.875" style="508" customWidth="1"/>
    <col min="12812" max="12812" width="15.625" style="508" bestFit="1" customWidth="1"/>
    <col min="12813" max="12813" width="15" style="508" customWidth="1"/>
    <col min="12814" max="12814" width="15.625" style="508" bestFit="1" customWidth="1"/>
    <col min="12815" max="12815" width="15.875" style="508" customWidth="1"/>
    <col min="12816" max="12816" width="16.25" style="508" customWidth="1"/>
    <col min="12817" max="12817" width="16.75" style="508" customWidth="1"/>
    <col min="12818" max="12818" width="14.875" style="508" customWidth="1"/>
    <col min="12819" max="12819" width="19.625" style="508" bestFit="1" customWidth="1"/>
    <col min="12820" max="12820" width="21.875" style="508" customWidth="1"/>
    <col min="12821" max="13057" width="11" style="508"/>
    <col min="13058" max="13058" width="51" style="508" customWidth="1"/>
    <col min="13059" max="13059" width="19" style="508" customWidth="1"/>
    <col min="13060" max="13060" width="15.375" style="508" customWidth="1"/>
    <col min="13061" max="13061" width="14.5" style="508" customWidth="1"/>
    <col min="13062" max="13062" width="19.75" style="508" customWidth="1"/>
    <col min="13063" max="13063" width="20.5" style="508" customWidth="1"/>
    <col min="13064" max="13064" width="15.25" style="508" customWidth="1"/>
    <col min="13065" max="13065" width="15.625" style="508" customWidth="1"/>
    <col min="13066" max="13066" width="15.625" style="508" bestFit="1" customWidth="1"/>
    <col min="13067" max="13067" width="14.875" style="508" customWidth="1"/>
    <col min="13068" max="13068" width="15.625" style="508" bestFit="1" customWidth="1"/>
    <col min="13069" max="13069" width="15" style="508" customWidth="1"/>
    <col min="13070" max="13070" width="15.625" style="508" bestFit="1" customWidth="1"/>
    <col min="13071" max="13071" width="15.875" style="508" customWidth="1"/>
    <col min="13072" max="13072" width="16.25" style="508" customWidth="1"/>
    <col min="13073" max="13073" width="16.75" style="508" customWidth="1"/>
    <col min="13074" max="13074" width="14.875" style="508" customWidth="1"/>
    <col min="13075" max="13075" width="19.625" style="508" bestFit="1" customWidth="1"/>
    <col min="13076" max="13076" width="21.875" style="508" customWidth="1"/>
    <col min="13077" max="13313" width="11" style="508"/>
    <col min="13314" max="13314" width="51" style="508" customWidth="1"/>
    <col min="13315" max="13315" width="19" style="508" customWidth="1"/>
    <col min="13316" max="13316" width="15.375" style="508" customWidth="1"/>
    <col min="13317" max="13317" width="14.5" style="508" customWidth="1"/>
    <col min="13318" max="13318" width="19.75" style="508" customWidth="1"/>
    <col min="13319" max="13319" width="20.5" style="508" customWidth="1"/>
    <col min="13320" max="13320" width="15.25" style="508" customWidth="1"/>
    <col min="13321" max="13321" width="15.625" style="508" customWidth="1"/>
    <col min="13322" max="13322" width="15.625" style="508" bestFit="1" customWidth="1"/>
    <col min="13323" max="13323" width="14.875" style="508" customWidth="1"/>
    <col min="13324" max="13324" width="15.625" style="508" bestFit="1" customWidth="1"/>
    <col min="13325" max="13325" width="15" style="508" customWidth="1"/>
    <col min="13326" max="13326" width="15.625" style="508" bestFit="1" customWidth="1"/>
    <col min="13327" max="13327" width="15.875" style="508" customWidth="1"/>
    <col min="13328" max="13328" width="16.25" style="508" customWidth="1"/>
    <col min="13329" max="13329" width="16.75" style="508" customWidth="1"/>
    <col min="13330" max="13330" width="14.875" style="508" customWidth="1"/>
    <col min="13331" max="13331" width="19.625" style="508" bestFit="1" customWidth="1"/>
    <col min="13332" max="13332" width="21.875" style="508" customWidth="1"/>
    <col min="13333" max="13569" width="11" style="508"/>
    <col min="13570" max="13570" width="51" style="508" customWidth="1"/>
    <col min="13571" max="13571" width="19" style="508" customWidth="1"/>
    <col min="13572" max="13572" width="15.375" style="508" customWidth="1"/>
    <col min="13573" max="13573" width="14.5" style="508" customWidth="1"/>
    <col min="13574" max="13574" width="19.75" style="508" customWidth="1"/>
    <col min="13575" max="13575" width="20.5" style="508" customWidth="1"/>
    <col min="13576" max="13576" width="15.25" style="508" customWidth="1"/>
    <col min="13577" max="13577" width="15.625" style="508" customWidth="1"/>
    <col min="13578" max="13578" width="15.625" style="508" bestFit="1" customWidth="1"/>
    <col min="13579" max="13579" width="14.875" style="508" customWidth="1"/>
    <col min="13580" max="13580" width="15.625" style="508" bestFit="1" customWidth="1"/>
    <col min="13581" max="13581" width="15" style="508" customWidth="1"/>
    <col min="13582" max="13582" width="15.625" style="508" bestFit="1" customWidth="1"/>
    <col min="13583" max="13583" width="15.875" style="508" customWidth="1"/>
    <col min="13584" max="13584" width="16.25" style="508" customWidth="1"/>
    <col min="13585" max="13585" width="16.75" style="508" customWidth="1"/>
    <col min="13586" max="13586" width="14.875" style="508" customWidth="1"/>
    <col min="13587" max="13587" width="19.625" style="508" bestFit="1" customWidth="1"/>
    <col min="13588" max="13588" width="21.875" style="508" customWidth="1"/>
    <col min="13589" max="13825" width="11" style="508"/>
    <col min="13826" max="13826" width="51" style="508" customWidth="1"/>
    <col min="13827" max="13827" width="19" style="508" customWidth="1"/>
    <col min="13828" max="13828" width="15.375" style="508" customWidth="1"/>
    <col min="13829" max="13829" width="14.5" style="508" customWidth="1"/>
    <col min="13830" max="13830" width="19.75" style="508" customWidth="1"/>
    <col min="13831" max="13831" width="20.5" style="508" customWidth="1"/>
    <col min="13832" max="13832" width="15.25" style="508" customWidth="1"/>
    <col min="13833" max="13833" width="15.625" style="508" customWidth="1"/>
    <col min="13834" max="13834" width="15.625" style="508" bestFit="1" customWidth="1"/>
    <col min="13835" max="13835" width="14.875" style="508" customWidth="1"/>
    <col min="13836" max="13836" width="15.625" style="508" bestFit="1" customWidth="1"/>
    <col min="13837" max="13837" width="15" style="508" customWidth="1"/>
    <col min="13838" max="13838" width="15.625" style="508" bestFit="1" customWidth="1"/>
    <col min="13839" max="13839" width="15.875" style="508" customWidth="1"/>
    <col min="13840" max="13840" width="16.25" style="508" customWidth="1"/>
    <col min="13841" max="13841" width="16.75" style="508" customWidth="1"/>
    <col min="13842" max="13842" width="14.875" style="508" customWidth="1"/>
    <col min="13843" max="13843" width="19.625" style="508" bestFit="1" customWidth="1"/>
    <col min="13844" max="13844" width="21.875" style="508" customWidth="1"/>
    <col min="13845" max="14081" width="11" style="508"/>
    <col min="14082" max="14082" width="51" style="508" customWidth="1"/>
    <col min="14083" max="14083" width="19" style="508" customWidth="1"/>
    <col min="14084" max="14084" width="15.375" style="508" customWidth="1"/>
    <col min="14085" max="14085" width="14.5" style="508" customWidth="1"/>
    <col min="14086" max="14086" width="19.75" style="508" customWidth="1"/>
    <col min="14087" max="14087" width="20.5" style="508" customWidth="1"/>
    <col min="14088" max="14088" width="15.25" style="508" customWidth="1"/>
    <col min="14089" max="14089" width="15.625" style="508" customWidth="1"/>
    <col min="14090" max="14090" width="15.625" style="508" bestFit="1" customWidth="1"/>
    <col min="14091" max="14091" width="14.875" style="508" customWidth="1"/>
    <col min="14092" max="14092" width="15.625" style="508" bestFit="1" customWidth="1"/>
    <col min="14093" max="14093" width="15" style="508" customWidth="1"/>
    <col min="14094" max="14094" width="15.625" style="508" bestFit="1" customWidth="1"/>
    <col min="14095" max="14095" width="15.875" style="508" customWidth="1"/>
    <col min="14096" max="14096" width="16.25" style="508" customWidth="1"/>
    <col min="14097" max="14097" width="16.75" style="508" customWidth="1"/>
    <col min="14098" max="14098" width="14.875" style="508" customWidth="1"/>
    <col min="14099" max="14099" width="19.625" style="508" bestFit="1" customWidth="1"/>
    <col min="14100" max="14100" width="21.875" style="508" customWidth="1"/>
    <col min="14101" max="14337" width="11" style="508"/>
    <col min="14338" max="14338" width="51" style="508" customWidth="1"/>
    <col min="14339" max="14339" width="19" style="508" customWidth="1"/>
    <col min="14340" max="14340" width="15.375" style="508" customWidth="1"/>
    <col min="14341" max="14341" width="14.5" style="508" customWidth="1"/>
    <col min="14342" max="14342" width="19.75" style="508" customWidth="1"/>
    <col min="14343" max="14343" width="20.5" style="508" customWidth="1"/>
    <col min="14344" max="14344" width="15.25" style="508" customWidth="1"/>
    <col min="14345" max="14345" width="15.625" style="508" customWidth="1"/>
    <col min="14346" max="14346" width="15.625" style="508" bestFit="1" customWidth="1"/>
    <col min="14347" max="14347" width="14.875" style="508" customWidth="1"/>
    <col min="14348" max="14348" width="15.625" style="508" bestFit="1" customWidth="1"/>
    <col min="14349" max="14349" width="15" style="508" customWidth="1"/>
    <col min="14350" max="14350" width="15.625" style="508" bestFit="1" customWidth="1"/>
    <col min="14351" max="14351" width="15.875" style="508" customWidth="1"/>
    <col min="14352" max="14352" width="16.25" style="508" customWidth="1"/>
    <col min="14353" max="14353" width="16.75" style="508" customWidth="1"/>
    <col min="14354" max="14354" width="14.875" style="508" customWidth="1"/>
    <col min="14355" max="14355" width="19.625" style="508" bestFit="1" customWidth="1"/>
    <col min="14356" max="14356" width="21.875" style="508" customWidth="1"/>
    <col min="14357" max="14593" width="11" style="508"/>
    <col min="14594" max="14594" width="51" style="508" customWidth="1"/>
    <col min="14595" max="14595" width="19" style="508" customWidth="1"/>
    <col min="14596" max="14596" width="15.375" style="508" customWidth="1"/>
    <col min="14597" max="14597" width="14.5" style="508" customWidth="1"/>
    <col min="14598" max="14598" width="19.75" style="508" customWidth="1"/>
    <col min="14599" max="14599" width="20.5" style="508" customWidth="1"/>
    <col min="14600" max="14600" width="15.25" style="508" customWidth="1"/>
    <col min="14601" max="14601" width="15.625" style="508" customWidth="1"/>
    <col min="14602" max="14602" width="15.625" style="508" bestFit="1" customWidth="1"/>
    <col min="14603" max="14603" width="14.875" style="508" customWidth="1"/>
    <col min="14604" max="14604" width="15.625" style="508" bestFit="1" customWidth="1"/>
    <col min="14605" max="14605" width="15" style="508" customWidth="1"/>
    <col min="14606" max="14606" width="15.625" style="508" bestFit="1" customWidth="1"/>
    <col min="14607" max="14607" width="15.875" style="508" customWidth="1"/>
    <col min="14608" max="14608" width="16.25" style="508" customWidth="1"/>
    <col min="14609" max="14609" width="16.75" style="508" customWidth="1"/>
    <col min="14610" max="14610" width="14.875" style="508" customWidth="1"/>
    <col min="14611" max="14611" width="19.625" style="508" bestFit="1" customWidth="1"/>
    <col min="14612" max="14612" width="21.875" style="508" customWidth="1"/>
    <col min="14613" max="14849" width="11" style="508"/>
    <col min="14850" max="14850" width="51" style="508" customWidth="1"/>
    <col min="14851" max="14851" width="19" style="508" customWidth="1"/>
    <col min="14852" max="14852" width="15.375" style="508" customWidth="1"/>
    <col min="14853" max="14853" width="14.5" style="508" customWidth="1"/>
    <col min="14854" max="14854" width="19.75" style="508" customWidth="1"/>
    <col min="14855" max="14855" width="20.5" style="508" customWidth="1"/>
    <col min="14856" max="14856" width="15.25" style="508" customWidth="1"/>
    <col min="14857" max="14857" width="15.625" style="508" customWidth="1"/>
    <col min="14858" max="14858" width="15.625" style="508" bestFit="1" customWidth="1"/>
    <col min="14859" max="14859" width="14.875" style="508" customWidth="1"/>
    <col min="14860" max="14860" width="15.625" style="508" bestFit="1" customWidth="1"/>
    <col min="14861" max="14861" width="15" style="508" customWidth="1"/>
    <col min="14862" max="14862" width="15.625" style="508" bestFit="1" customWidth="1"/>
    <col min="14863" max="14863" width="15.875" style="508" customWidth="1"/>
    <col min="14864" max="14864" width="16.25" style="508" customWidth="1"/>
    <col min="14865" max="14865" width="16.75" style="508" customWidth="1"/>
    <col min="14866" max="14866" width="14.875" style="508" customWidth="1"/>
    <col min="14867" max="14867" width="19.625" style="508" bestFit="1" customWidth="1"/>
    <col min="14868" max="14868" width="21.875" style="508" customWidth="1"/>
    <col min="14869" max="15105" width="11" style="508"/>
    <col min="15106" max="15106" width="51" style="508" customWidth="1"/>
    <col min="15107" max="15107" width="19" style="508" customWidth="1"/>
    <col min="15108" max="15108" width="15.375" style="508" customWidth="1"/>
    <col min="15109" max="15109" width="14.5" style="508" customWidth="1"/>
    <col min="15110" max="15110" width="19.75" style="508" customWidth="1"/>
    <col min="15111" max="15111" width="20.5" style="508" customWidth="1"/>
    <col min="15112" max="15112" width="15.25" style="508" customWidth="1"/>
    <col min="15113" max="15113" width="15.625" style="508" customWidth="1"/>
    <col min="15114" max="15114" width="15.625" style="508" bestFit="1" customWidth="1"/>
    <col min="15115" max="15115" width="14.875" style="508" customWidth="1"/>
    <col min="15116" max="15116" width="15.625" style="508" bestFit="1" customWidth="1"/>
    <col min="15117" max="15117" width="15" style="508" customWidth="1"/>
    <col min="15118" max="15118" width="15.625" style="508" bestFit="1" customWidth="1"/>
    <col min="15119" max="15119" width="15.875" style="508" customWidth="1"/>
    <col min="15120" max="15120" width="16.25" style="508" customWidth="1"/>
    <col min="15121" max="15121" width="16.75" style="508" customWidth="1"/>
    <col min="15122" max="15122" width="14.875" style="508" customWidth="1"/>
    <col min="15123" max="15123" width="19.625" style="508" bestFit="1" customWidth="1"/>
    <col min="15124" max="15124" width="21.875" style="508" customWidth="1"/>
    <col min="15125" max="15361" width="11" style="508"/>
    <col min="15362" max="15362" width="51" style="508" customWidth="1"/>
    <col min="15363" max="15363" width="19" style="508" customWidth="1"/>
    <col min="15364" max="15364" width="15.375" style="508" customWidth="1"/>
    <col min="15365" max="15365" width="14.5" style="508" customWidth="1"/>
    <col min="15366" max="15366" width="19.75" style="508" customWidth="1"/>
    <col min="15367" max="15367" width="20.5" style="508" customWidth="1"/>
    <col min="15368" max="15368" width="15.25" style="508" customWidth="1"/>
    <col min="15369" max="15369" width="15.625" style="508" customWidth="1"/>
    <col min="15370" max="15370" width="15.625" style="508" bestFit="1" customWidth="1"/>
    <col min="15371" max="15371" width="14.875" style="508" customWidth="1"/>
    <col min="15372" max="15372" width="15.625" style="508" bestFit="1" customWidth="1"/>
    <col min="15373" max="15373" width="15" style="508" customWidth="1"/>
    <col min="15374" max="15374" width="15.625" style="508" bestFit="1" customWidth="1"/>
    <col min="15375" max="15375" width="15.875" style="508" customWidth="1"/>
    <col min="15376" max="15376" width="16.25" style="508" customWidth="1"/>
    <col min="15377" max="15377" width="16.75" style="508" customWidth="1"/>
    <col min="15378" max="15378" width="14.875" style="508" customWidth="1"/>
    <col min="15379" max="15379" width="19.625" style="508" bestFit="1" customWidth="1"/>
    <col min="15380" max="15380" width="21.875" style="508" customWidth="1"/>
    <col min="15381" max="15617" width="11" style="508"/>
    <col min="15618" max="15618" width="51" style="508" customWidth="1"/>
    <col min="15619" max="15619" width="19" style="508" customWidth="1"/>
    <col min="15620" max="15620" width="15.375" style="508" customWidth="1"/>
    <col min="15621" max="15621" width="14.5" style="508" customWidth="1"/>
    <col min="15622" max="15622" width="19.75" style="508" customWidth="1"/>
    <col min="15623" max="15623" width="20.5" style="508" customWidth="1"/>
    <col min="15624" max="15624" width="15.25" style="508" customWidth="1"/>
    <col min="15625" max="15625" width="15.625" style="508" customWidth="1"/>
    <col min="15626" max="15626" width="15.625" style="508" bestFit="1" customWidth="1"/>
    <col min="15627" max="15627" width="14.875" style="508" customWidth="1"/>
    <col min="15628" max="15628" width="15.625" style="508" bestFit="1" customWidth="1"/>
    <col min="15629" max="15629" width="15" style="508" customWidth="1"/>
    <col min="15630" max="15630" width="15.625" style="508" bestFit="1" customWidth="1"/>
    <col min="15631" max="15631" width="15.875" style="508" customWidth="1"/>
    <col min="15632" max="15632" width="16.25" style="508" customWidth="1"/>
    <col min="15633" max="15633" width="16.75" style="508" customWidth="1"/>
    <col min="15634" max="15634" width="14.875" style="508" customWidth="1"/>
    <col min="15635" max="15635" width="19.625" style="508" bestFit="1" customWidth="1"/>
    <col min="15636" max="15636" width="21.875" style="508" customWidth="1"/>
    <col min="15637" max="15873" width="11" style="508"/>
    <col min="15874" max="15874" width="51" style="508" customWidth="1"/>
    <col min="15875" max="15875" width="19" style="508" customWidth="1"/>
    <col min="15876" max="15876" width="15.375" style="508" customWidth="1"/>
    <col min="15877" max="15877" width="14.5" style="508" customWidth="1"/>
    <col min="15878" max="15878" width="19.75" style="508" customWidth="1"/>
    <col min="15879" max="15879" width="20.5" style="508" customWidth="1"/>
    <col min="15880" max="15880" width="15.25" style="508" customWidth="1"/>
    <col min="15881" max="15881" width="15.625" style="508" customWidth="1"/>
    <col min="15882" max="15882" width="15.625" style="508" bestFit="1" customWidth="1"/>
    <col min="15883" max="15883" width="14.875" style="508" customWidth="1"/>
    <col min="15884" max="15884" width="15.625" style="508" bestFit="1" customWidth="1"/>
    <col min="15885" max="15885" width="15" style="508" customWidth="1"/>
    <col min="15886" max="15886" width="15.625" style="508" bestFit="1" customWidth="1"/>
    <col min="15887" max="15887" width="15.875" style="508" customWidth="1"/>
    <col min="15888" max="15888" width="16.25" style="508" customWidth="1"/>
    <col min="15889" max="15889" width="16.75" style="508" customWidth="1"/>
    <col min="15890" max="15890" width="14.875" style="508" customWidth="1"/>
    <col min="15891" max="15891" width="19.625" style="508" bestFit="1" customWidth="1"/>
    <col min="15892" max="15892" width="21.875" style="508" customWidth="1"/>
    <col min="15893" max="16129" width="11" style="508"/>
    <col min="16130" max="16130" width="51" style="508" customWidth="1"/>
    <col min="16131" max="16131" width="19" style="508" customWidth="1"/>
    <col min="16132" max="16132" width="15.375" style="508" customWidth="1"/>
    <col min="16133" max="16133" width="14.5" style="508" customWidth="1"/>
    <col min="16134" max="16134" width="19.75" style="508" customWidth="1"/>
    <col min="16135" max="16135" width="20.5" style="508" customWidth="1"/>
    <col min="16136" max="16136" width="15.25" style="508" customWidth="1"/>
    <col min="16137" max="16137" width="15.625" style="508" customWidth="1"/>
    <col min="16138" max="16138" width="15.625" style="508" bestFit="1" customWidth="1"/>
    <col min="16139" max="16139" width="14.875" style="508" customWidth="1"/>
    <col min="16140" max="16140" width="15.625" style="508" bestFit="1" customWidth="1"/>
    <col min="16141" max="16141" width="15" style="508" customWidth="1"/>
    <col min="16142" max="16142" width="15.625" style="508" bestFit="1" customWidth="1"/>
    <col min="16143" max="16143" width="15.875" style="508" customWidth="1"/>
    <col min="16144" max="16144" width="16.25" style="508" customWidth="1"/>
    <col min="16145" max="16145" width="16.75" style="508" customWidth="1"/>
    <col min="16146" max="16146" width="14.875" style="508" customWidth="1"/>
    <col min="16147" max="16147" width="19.625" style="508" bestFit="1" customWidth="1"/>
    <col min="16148" max="16148" width="21.875" style="508" customWidth="1"/>
    <col min="16149" max="16384" width="11" style="508"/>
  </cols>
  <sheetData>
    <row r="1" spans="1:23" x14ac:dyDescent="0.2">
      <c r="B1" s="505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7"/>
    </row>
    <row r="2" spans="1:23" x14ac:dyDescent="0.2">
      <c r="B2" s="672" t="s">
        <v>0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3" x14ac:dyDescent="0.2">
      <c r="B3" s="672" t="s">
        <v>179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4"/>
    </row>
    <row r="4" spans="1:23" ht="13.5" thickBot="1" x14ac:dyDescent="0.25">
      <c r="B4" s="675" t="s">
        <v>98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7"/>
    </row>
    <row r="5" spans="1:23" x14ac:dyDescent="0.2">
      <c r="A5" s="509"/>
      <c r="B5" s="510" t="s">
        <v>99</v>
      </c>
      <c r="C5" s="510" t="s">
        <v>100</v>
      </c>
      <c r="D5" s="511"/>
      <c r="E5" s="512" t="s">
        <v>101</v>
      </c>
      <c r="F5" s="511" t="s">
        <v>102</v>
      </c>
      <c r="G5" s="512" t="s">
        <v>103</v>
      </c>
      <c r="H5" s="511" t="s">
        <v>104</v>
      </c>
      <c r="I5" s="512" t="s">
        <v>105</v>
      </c>
      <c r="J5" s="511" t="s">
        <v>106</v>
      </c>
      <c r="K5" s="512" t="s">
        <v>107</v>
      </c>
      <c r="L5" s="511" t="s">
        <v>108</v>
      </c>
      <c r="M5" s="512" t="s">
        <v>109</v>
      </c>
      <c r="N5" s="511" t="s">
        <v>110</v>
      </c>
      <c r="O5" s="512" t="s">
        <v>111</v>
      </c>
      <c r="P5" s="511" t="s">
        <v>112</v>
      </c>
      <c r="Q5" s="512" t="s">
        <v>113</v>
      </c>
      <c r="R5" s="511" t="s">
        <v>114</v>
      </c>
      <c r="S5" s="512" t="s">
        <v>115</v>
      </c>
      <c r="T5" s="511" t="s">
        <v>116</v>
      </c>
    </row>
    <row r="6" spans="1:23" ht="13.5" thickBot="1" x14ac:dyDescent="0.25">
      <c r="A6" s="509"/>
      <c r="B6" s="513"/>
      <c r="C6" s="514" t="s">
        <v>3</v>
      </c>
      <c r="D6" s="515"/>
      <c r="E6" s="516"/>
      <c r="F6" s="515" t="s">
        <v>117</v>
      </c>
      <c r="G6" s="517" t="s">
        <v>118</v>
      </c>
      <c r="H6" s="518"/>
      <c r="I6" s="519"/>
      <c r="J6" s="518"/>
      <c r="K6" s="519"/>
      <c r="L6" s="518"/>
      <c r="M6" s="519"/>
      <c r="N6" s="518"/>
      <c r="O6" s="519"/>
      <c r="P6" s="518"/>
      <c r="Q6" s="519"/>
      <c r="R6" s="518"/>
      <c r="S6" s="519"/>
      <c r="T6" s="518"/>
    </row>
    <row r="7" spans="1:23" x14ac:dyDescent="0.2">
      <c r="B7" s="520"/>
      <c r="C7" s="521"/>
      <c r="D7" s="522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3"/>
    </row>
    <row r="8" spans="1:23" x14ac:dyDescent="0.2">
      <c r="B8" s="524" t="s">
        <v>119</v>
      </c>
      <c r="C8" s="525">
        <v>1168442348</v>
      </c>
      <c r="D8" s="526"/>
      <c r="E8" s="527"/>
      <c r="F8" s="527"/>
      <c r="G8" s="528">
        <f>E8-F8+C8</f>
        <v>1168442348</v>
      </c>
      <c r="H8" s="527">
        <v>0</v>
      </c>
      <c r="I8" s="527">
        <f>90000000+178442348</f>
        <v>268442348</v>
      </c>
      <c r="J8" s="527">
        <v>90000000</v>
      </c>
      <c r="K8" s="527">
        <v>90000000</v>
      </c>
      <c r="L8" s="527">
        <v>90000000</v>
      </c>
      <c r="M8" s="527">
        <v>90000000</v>
      </c>
      <c r="N8" s="527">
        <v>90000000</v>
      </c>
      <c r="O8" s="527">
        <v>90000000</v>
      </c>
      <c r="P8" s="527">
        <v>90000000</v>
      </c>
      <c r="Q8" s="527">
        <v>90000000</v>
      </c>
      <c r="R8" s="527">
        <v>90000000</v>
      </c>
      <c r="S8" s="527">
        <v>90000000</v>
      </c>
      <c r="T8" s="529">
        <f>H8+I8+J8+K8+L8+M8+N8+O8+P8+Q8+R8+S8</f>
        <v>1168442348</v>
      </c>
      <c r="U8" s="521">
        <f>G8-T8</f>
        <v>0</v>
      </c>
    </row>
    <row r="9" spans="1:23" x14ac:dyDescent="0.2">
      <c r="B9" s="632" t="s">
        <v>120</v>
      </c>
      <c r="C9" s="530">
        <v>0</v>
      </c>
      <c r="D9" s="526"/>
      <c r="E9" s="530">
        <v>66972634</v>
      </c>
      <c r="F9" s="527">
        <v>0</v>
      </c>
      <c r="G9" s="527">
        <v>66972634</v>
      </c>
      <c r="H9" s="527">
        <v>0</v>
      </c>
      <c r="I9" s="527">
        <v>0</v>
      </c>
      <c r="J9" s="527">
        <v>0</v>
      </c>
      <c r="K9" s="527">
        <f t="shared" ref="J9:L12" si="0">I9-J9</f>
        <v>0</v>
      </c>
      <c r="L9" s="527">
        <f t="shared" si="0"/>
        <v>0</v>
      </c>
      <c r="M9" s="633">
        <v>33486316</v>
      </c>
      <c r="N9" s="527">
        <v>5581053</v>
      </c>
      <c r="O9" s="527">
        <v>5581053</v>
      </c>
      <c r="P9" s="527">
        <v>5581053</v>
      </c>
      <c r="Q9" s="527">
        <v>5581053</v>
      </c>
      <c r="R9" s="527">
        <v>5581053</v>
      </c>
      <c r="S9" s="527">
        <v>5581053</v>
      </c>
      <c r="T9" s="531">
        <f>H9+I9+J9+K9+L9+M9+N9+O9+P9+Q9+R9+S9</f>
        <v>66972634</v>
      </c>
      <c r="U9" s="521">
        <f>G9-T9</f>
        <v>0</v>
      </c>
      <c r="V9" s="599"/>
      <c r="W9" s="618"/>
    </row>
    <row r="10" spans="1:23" x14ac:dyDescent="0.2">
      <c r="B10" s="524" t="s">
        <v>121</v>
      </c>
      <c r="C10" s="530">
        <v>0</v>
      </c>
      <c r="D10" s="526"/>
      <c r="E10" s="530">
        <v>894038</v>
      </c>
      <c r="F10" s="527">
        <v>0</v>
      </c>
      <c r="G10" s="527">
        <v>894038</v>
      </c>
      <c r="H10" s="527">
        <v>0</v>
      </c>
      <c r="I10" s="527">
        <v>0</v>
      </c>
      <c r="J10" s="527">
        <f t="shared" si="0"/>
        <v>0</v>
      </c>
      <c r="K10" s="527">
        <f t="shared" si="0"/>
        <v>0</v>
      </c>
      <c r="L10" s="527">
        <f t="shared" si="0"/>
        <v>0</v>
      </c>
      <c r="M10" s="527">
        <v>894038</v>
      </c>
      <c r="N10" s="527"/>
      <c r="O10" s="527"/>
      <c r="P10" s="527"/>
      <c r="Q10" s="527"/>
      <c r="R10" s="527"/>
      <c r="S10" s="527"/>
      <c r="T10" s="531">
        <f>H10+I10+J10+K10+L10+M10+N10+O10+P10+Q10+R10+S10</f>
        <v>894038</v>
      </c>
      <c r="U10" s="521">
        <f>G10-T10</f>
        <v>0</v>
      </c>
      <c r="V10" s="599"/>
      <c r="W10" s="618"/>
    </row>
    <row r="11" spans="1:23" ht="12" customHeight="1" x14ac:dyDescent="0.2">
      <c r="B11" s="524" t="s">
        <v>122</v>
      </c>
      <c r="C11" s="530">
        <v>0</v>
      </c>
      <c r="D11" s="526"/>
      <c r="E11" s="530">
        <v>85317215</v>
      </c>
      <c r="F11" s="527">
        <v>0</v>
      </c>
      <c r="G11" s="527">
        <v>85317215</v>
      </c>
      <c r="H11" s="527">
        <v>0</v>
      </c>
      <c r="I11" s="527">
        <v>0</v>
      </c>
      <c r="J11" s="527">
        <f t="shared" si="0"/>
        <v>0</v>
      </c>
      <c r="K11" s="527">
        <f t="shared" si="0"/>
        <v>0</v>
      </c>
      <c r="L11" s="527">
        <f t="shared" si="0"/>
        <v>0</v>
      </c>
      <c r="M11" s="527">
        <v>42658607</v>
      </c>
      <c r="N11" s="527">
        <v>7109768</v>
      </c>
      <c r="O11" s="527">
        <v>7109768</v>
      </c>
      <c r="P11" s="527">
        <v>7109768</v>
      </c>
      <c r="Q11" s="527">
        <v>7109768</v>
      </c>
      <c r="R11" s="527">
        <v>7109768</v>
      </c>
      <c r="S11" s="527">
        <v>7109768</v>
      </c>
      <c r="T11" s="531">
        <f>H11+I11+J11+K11+L11+M11+N11+O11+P11+Q11+R11+S11</f>
        <v>85317215</v>
      </c>
      <c r="U11" s="521">
        <f>G11-T11</f>
        <v>0</v>
      </c>
      <c r="V11" s="599"/>
      <c r="W11" s="618"/>
    </row>
    <row r="12" spans="1:23" x14ac:dyDescent="0.2">
      <c r="B12" s="524" t="s">
        <v>123</v>
      </c>
      <c r="C12" s="530">
        <v>0</v>
      </c>
      <c r="D12" s="526"/>
      <c r="E12" s="530">
        <v>32663420</v>
      </c>
      <c r="F12" s="527">
        <v>0</v>
      </c>
      <c r="G12" s="527">
        <v>32663420</v>
      </c>
      <c r="H12" s="527">
        <v>0</v>
      </c>
      <c r="I12" s="527">
        <v>0</v>
      </c>
      <c r="J12" s="527">
        <f t="shared" si="0"/>
        <v>0</v>
      </c>
      <c r="K12" s="527">
        <f t="shared" si="0"/>
        <v>0</v>
      </c>
      <c r="L12" s="527">
        <f t="shared" si="0"/>
        <v>0</v>
      </c>
      <c r="M12" s="527">
        <v>16331708</v>
      </c>
      <c r="N12" s="527">
        <v>2721952</v>
      </c>
      <c r="O12" s="527">
        <v>2721952</v>
      </c>
      <c r="P12" s="527">
        <v>2721952</v>
      </c>
      <c r="Q12" s="527">
        <v>2721952</v>
      </c>
      <c r="R12" s="527">
        <v>2721952</v>
      </c>
      <c r="S12" s="527">
        <v>2721952</v>
      </c>
      <c r="T12" s="531">
        <f>H12+I12+J12+K12+L12+M12+N12+O12+P12+Q12+R12+S12</f>
        <v>32663420</v>
      </c>
      <c r="U12" s="521">
        <f>G12-T12</f>
        <v>0</v>
      </c>
      <c r="V12" s="599"/>
      <c r="W12" s="618"/>
    </row>
    <row r="13" spans="1:23" x14ac:dyDescent="0.2">
      <c r="A13" s="509"/>
      <c r="B13" s="532" t="s">
        <v>318</v>
      </c>
      <c r="C13" s="533">
        <f>+C8+C9+C10+C11</f>
        <v>1168442348</v>
      </c>
      <c r="D13" s="534"/>
      <c r="E13" s="535"/>
      <c r="F13" s="535">
        <v>0</v>
      </c>
      <c r="G13" s="536">
        <f>G12+G11+G10+G9+G8</f>
        <v>1354289655</v>
      </c>
      <c r="H13" s="535">
        <f>H8+H11+H12</f>
        <v>0</v>
      </c>
      <c r="I13" s="535">
        <f>I8+I11+I12</f>
        <v>268442348</v>
      </c>
      <c r="J13" s="535">
        <f>J8+J11+J12</f>
        <v>90000000</v>
      </c>
      <c r="K13" s="535">
        <f>K8+K11+K12</f>
        <v>90000000</v>
      </c>
      <c r="L13" s="535">
        <f>L8+L11+L12</f>
        <v>90000000</v>
      </c>
      <c r="M13" s="535">
        <f>M8+M9+M10+M11+M12</f>
        <v>183370669</v>
      </c>
      <c r="N13" s="535">
        <f t="shared" ref="N13:T13" si="1">N8+N9+N10+N11+N12</f>
        <v>105412773</v>
      </c>
      <c r="O13" s="535">
        <f t="shared" si="1"/>
        <v>105412773</v>
      </c>
      <c r="P13" s="535">
        <f t="shared" si="1"/>
        <v>105412773</v>
      </c>
      <c r="Q13" s="535">
        <f t="shared" si="1"/>
        <v>105412773</v>
      </c>
      <c r="R13" s="535">
        <f t="shared" si="1"/>
        <v>105412773</v>
      </c>
      <c r="S13" s="536">
        <f t="shared" si="1"/>
        <v>105412773</v>
      </c>
      <c r="T13" s="537">
        <f t="shared" si="1"/>
        <v>1354289655</v>
      </c>
      <c r="V13" s="521"/>
    </row>
    <row r="14" spans="1:23" x14ac:dyDescent="0.2">
      <c r="B14" s="524" t="s">
        <v>124</v>
      </c>
      <c r="C14" s="530">
        <v>0</v>
      </c>
      <c r="D14" s="526"/>
      <c r="E14" s="527"/>
      <c r="F14" s="527">
        <v>0</v>
      </c>
      <c r="G14" s="527">
        <v>0</v>
      </c>
      <c r="H14" s="527">
        <v>0</v>
      </c>
      <c r="I14" s="527">
        <v>0</v>
      </c>
      <c r="J14" s="527">
        <v>0</v>
      </c>
      <c r="K14" s="527">
        <v>0</v>
      </c>
      <c r="L14" s="527">
        <v>0</v>
      </c>
      <c r="M14" s="527">
        <v>0</v>
      </c>
      <c r="N14" s="527">
        <v>0</v>
      </c>
      <c r="O14" s="527">
        <v>0</v>
      </c>
      <c r="P14" s="527">
        <v>0</v>
      </c>
      <c r="Q14" s="527">
        <v>0</v>
      </c>
      <c r="R14" s="527">
        <v>0</v>
      </c>
      <c r="S14" s="527">
        <v>0</v>
      </c>
      <c r="T14" s="531">
        <v>0</v>
      </c>
      <c r="V14" s="521"/>
    </row>
    <row r="15" spans="1:23" x14ac:dyDescent="0.2">
      <c r="B15" s="524" t="s">
        <v>125</v>
      </c>
      <c r="C15" s="530">
        <v>0</v>
      </c>
      <c r="D15" s="526"/>
      <c r="E15" s="527"/>
      <c r="F15" s="527">
        <v>0</v>
      </c>
      <c r="G15" s="527">
        <v>0</v>
      </c>
      <c r="H15" s="527">
        <v>0</v>
      </c>
      <c r="I15" s="527">
        <v>0</v>
      </c>
      <c r="J15" s="527">
        <v>0</v>
      </c>
      <c r="K15" s="527">
        <v>0</v>
      </c>
      <c r="L15" s="527">
        <v>0</v>
      </c>
      <c r="M15" s="527">
        <v>0</v>
      </c>
      <c r="N15" s="527">
        <v>0</v>
      </c>
      <c r="O15" s="527">
        <v>0</v>
      </c>
      <c r="P15" s="527">
        <v>0</v>
      </c>
      <c r="Q15" s="527">
        <v>0</v>
      </c>
      <c r="R15" s="527">
        <v>0</v>
      </c>
      <c r="S15" s="527">
        <v>0</v>
      </c>
      <c r="T15" s="531">
        <v>0</v>
      </c>
      <c r="V15" s="521"/>
    </row>
    <row r="16" spans="1:23" x14ac:dyDescent="0.2">
      <c r="A16" s="509"/>
      <c r="B16" s="532" t="s">
        <v>126</v>
      </c>
      <c r="C16" s="533">
        <f>+C13</f>
        <v>1168442348</v>
      </c>
      <c r="D16" s="534"/>
      <c r="E16" s="538">
        <f>E8+E9+E10+E11+E12</f>
        <v>185847307</v>
      </c>
      <c r="F16" s="535">
        <v>0</v>
      </c>
      <c r="G16" s="539">
        <f>+G13</f>
        <v>1354289655</v>
      </c>
      <c r="H16" s="538">
        <f>H8+H11+H12</f>
        <v>0</v>
      </c>
      <c r="I16" s="538">
        <f>I8+I11+I12</f>
        <v>268442348</v>
      </c>
      <c r="J16" s="538">
        <f t="shared" ref="J16:R16" si="2">+J13</f>
        <v>90000000</v>
      </c>
      <c r="K16" s="538">
        <f t="shared" si="2"/>
        <v>90000000</v>
      </c>
      <c r="L16" s="538">
        <f t="shared" si="2"/>
        <v>90000000</v>
      </c>
      <c r="M16" s="538">
        <f t="shared" si="2"/>
        <v>183370669</v>
      </c>
      <c r="N16" s="538">
        <f t="shared" si="2"/>
        <v>105412773</v>
      </c>
      <c r="O16" s="538">
        <f t="shared" si="2"/>
        <v>105412773</v>
      </c>
      <c r="P16" s="538">
        <f t="shared" si="2"/>
        <v>105412773</v>
      </c>
      <c r="Q16" s="538">
        <f t="shared" si="2"/>
        <v>105412773</v>
      </c>
      <c r="R16" s="538">
        <f t="shared" si="2"/>
        <v>105412773</v>
      </c>
      <c r="S16" s="539">
        <f>S13</f>
        <v>105412773</v>
      </c>
      <c r="T16" s="540">
        <f>H16+I16+J16+K16+L16+M16+N16+O16+P16+Q16+R16+S16</f>
        <v>1354289655</v>
      </c>
    </row>
    <row r="17" spans="1:24" ht="13.5" thickBot="1" x14ac:dyDescent="0.25">
      <c r="B17" s="541"/>
      <c r="C17" s="542"/>
      <c r="D17" s="543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5"/>
    </row>
    <row r="18" spans="1:24" ht="8.25" customHeight="1" x14ac:dyDescent="0.2">
      <c r="B18" s="546"/>
      <c r="C18" s="547"/>
      <c r="D18" s="548"/>
      <c r="E18" s="547"/>
      <c r="F18" s="547"/>
      <c r="G18" s="547"/>
      <c r="H18" s="547"/>
      <c r="I18" s="547"/>
      <c r="J18" s="549"/>
      <c r="K18" s="549"/>
      <c r="L18" s="549"/>
      <c r="M18" s="549"/>
      <c r="N18" s="549"/>
      <c r="O18" s="549"/>
      <c r="P18" s="547"/>
      <c r="Q18" s="547"/>
      <c r="R18" s="547"/>
      <c r="S18" s="547"/>
      <c r="T18" s="550" t="s">
        <v>117</v>
      </c>
      <c r="V18" s="521"/>
    </row>
    <row r="19" spans="1:24" x14ac:dyDescent="0.2">
      <c r="B19" s="546"/>
      <c r="C19" s="547"/>
      <c r="D19" s="548"/>
      <c r="E19" s="547"/>
      <c r="F19" s="551"/>
      <c r="G19" s="547">
        <f>G13*0.02</f>
        <v>27085793.100000001</v>
      </c>
      <c r="H19" s="547"/>
      <c r="I19" s="547"/>
      <c r="J19" s="549" t="s">
        <v>169</v>
      </c>
      <c r="K19" s="549"/>
      <c r="L19" s="549"/>
      <c r="M19" s="549"/>
      <c r="N19" s="549"/>
      <c r="P19" s="547"/>
      <c r="Q19" s="547"/>
      <c r="R19" s="547"/>
      <c r="S19" s="547"/>
      <c r="T19" s="550"/>
      <c r="V19" s="521"/>
    </row>
    <row r="20" spans="1:24" ht="9.75" customHeight="1" thickBot="1" x14ac:dyDescent="0.25">
      <c r="B20" s="548"/>
      <c r="C20" s="547"/>
      <c r="D20" s="548"/>
      <c r="E20" s="547"/>
      <c r="F20" s="547"/>
      <c r="G20" s="547"/>
      <c r="H20" s="547"/>
      <c r="I20" s="547"/>
      <c r="J20" s="549"/>
      <c r="K20" s="549"/>
      <c r="L20" s="549"/>
      <c r="M20" s="549"/>
      <c r="N20" s="549"/>
      <c r="O20" s="549"/>
      <c r="P20" s="547"/>
      <c r="Q20" s="547"/>
      <c r="R20" s="547"/>
      <c r="S20" s="547"/>
      <c r="T20" s="550"/>
    </row>
    <row r="21" spans="1:24" x14ac:dyDescent="0.2">
      <c r="A21" s="552"/>
      <c r="B21" s="553" t="s">
        <v>1</v>
      </c>
      <c r="C21" s="554" t="s">
        <v>127</v>
      </c>
      <c r="D21" s="555" t="s">
        <v>101</v>
      </c>
      <c r="E21" s="556" t="s">
        <v>2</v>
      </c>
      <c r="F21" s="555" t="s">
        <v>128</v>
      </c>
      <c r="G21" s="556" t="s">
        <v>129</v>
      </c>
      <c r="H21" s="555" t="s">
        <v>104</v>
      </c>
      <c r="I21" s="555" t="s">
        <v>105</v>
      </c>
      <c r="J21" s="556" t="s">
        <v>106</v>
      </c>
      <c r="K21" s="555" t="s">
        <v>107</v>
      </c>
      <c r="L21" s="556" t="s">
        <v>108</v>
      </c>
      <c r="M21" s="555" t="s">
        <v>109</v>
      </c>
      <c r="N21" s="556" t="s">
        <v>110</v>
      </c>
      <c r="O21" s="555" t="s">
        <v>111</v>
      </c>
      <c r="P21" s="556" t="s">
        <v>112</v>
      </c>
      <c r="Q21" s="555" t="s">
        <v>113</v>
      </c>
      <c r="R21" s="556" t="s">
        <v>114</v>
      </c>
      <c r="S21" s="555" t="s">
        <v>115</v>
      </c>
      <c r="T21" s="557" t="s">
        <v>116</v>
      </c>
      <c r="V21" s="521"/>
    </row>
    <row r="22" spans="1:24" ht="13.5" thickBot="1" x14ac:dyDescent="0.25">
      <c r="A22" s="552"/>
      <c r="B22" s="558"/>
      <c r="C22" s="559" t="s">
        <v>3</v>
      </c>
      <c r="D22" s="560"/>
      <c r="E22" s="561"/>
      <c r="F22" s="562"/>
      <c r="G22" s="563" t="s">
        <v>118</v>
      </c>
      <c r="H22" s="562"/>
      <c r="I22" s="562"/>
      <c r="J22" s="561"/>
      <c r="K22" s="562"/>
      <c r="L22" s="561"/>
      <c r="M22" s="562"/>
      <c r="N22" s="561"/>
      <c r="O22" s="562"/>
      <c r="P22" s="561"/>
      <c r="Q22" s="562"/>
      <c r="R22" s="561"/>
      <c r="S22" s="562"/>
      <c r="T22" s="564"/>
      <c r="V22" s="521"/>
    </row>
    <row r="23" spans="1:24" x14ac:dyDescent="0.2">
      <c r="A23" s="112" t="s">
        <v>4</v>
      </c>
      <c r="B23" s="565" t="s">
        <v>5</v>
      </c>
      <c r="C23" s="566">
        <f t="shared" ref="C23:T23" si="3">SUM(C24:C32)</f>
        <v>699585000</v>
      </c>
      <c r="D23" s="567">
        <f t="shared" si="3"/>
        <v>155847307</v>
      </c>
      <c r="E23" s="568">
        <f t="shared" si="3"/>
        <v>0</v>
      </c>
      <c r="F23" s="568">
        <f t="shared" si="3"/>
        <v>66300000</v>
      </c>
      <c r="G23" s="568">
        <f t="shared" si="3"/>
        <v>789132307</v>
      </c>
      <c r="H23" s="568">
        <f t="shared" si="3"/>
        <v>29519098.866666667</v>
      </c>
      <c r="I23" s="568">
        <f t="shared" si="3"/>
        <v>0</v>
      </c>
      <c r="J23" s="568">
        <f t="shared" si="3"/>
        <v>86635029</v>
      </c>
      <c r="K23" s="568">
        <f t="shared" si="3"/>
        <v>52793390</v>
      </c>
      <c r="L23" s="568">
        <f t="shared" si="3"/>
        <v>53727106</v>
      </c>
      <c r="M23" s="569">
        <f t="shared" si="3"/>
        <v>49427633</v>
      </c>
      <c r="N23" s="568">
        <f t="shared" si="3"/>
        <v>69926069</v>
      </c>
      <c r="O23" s="568">
        <f t="shared" si="3"/>
        <v>49397016</v>
      </c>
      <c r="P23" s="568">
        <f t="shared" si="3"/>
        <v>47095591</v>
      </c>
      <c r="Q23" s="568">
        <f t="shared" si="3"/>
        <v>47095591</v>
      </c>
      <c r="R23" s="568">
        <f t="shared" si="3"/>
        <v>47095591</v>
      </c>
      <c r="S23" s="568">
        <f t="shared" si="3"/>
        <v>256420192</v>
      </c>
      <c r="T23" s="566">
        <f t="shared" si="3"/>
        <v>789132306.86666667</v>
      </c>
      <c r="U23" s="521">
        <f>G23-T23</f>
        <v>0.13333332538604736</v>
      </c>
    </row>
    <row r="24" spans="1:24" ht="14.25" x14ac:dyDescent="0.2">
      <c r="A24" s="570" t="s">
        <v>6</v>
      </c>
      <c r="B24" s="571" t="s">
        <v>7</v>
      </c>
      <c r="C24" s="159">
        <v>536000000</v>
      </c>
      <c r="D24" s="572"/>
      <c r="E24" s="573"/>
      <c r="F24" s="574">
        <v>66300000</v>
      </c>
      <c r="G24" s="575">
        <f>ROUND((C24+D24+E24-F24),1)</f>
        <v>469700000</v>
      </c>
      <c r="H24" s="576">
        <v>25228716</v>
      </c>
      <c r="I24" s="576">
        <v>0</v>
      </c>
      <c r="J24" s="576">
        <v>86289925</v>
      </c>
      <c r="K24" s="607">
        <v>46529230</v>
      </c>
      <c r="L24" s="40">
        <v>0</v>
      </c>
      <c r="M24" s="40">
        <v>0</v>
      </c>
      <c r="N24" s="650">
        <v>0</v>
      </c>
      <c r="O24" s="576">
        <v>31844849</v>
      </c>
      <c r="P24" s="576">
        <v>46923039</v>
      </c>
      <c r="Q24" s="576">
        <v>46923039</v>
      </c>
      <c r="R24" s="576">
        <v>46923039</v>
      </c>
      <c r="S24" s="576">
        <f>46923039+92115124</f>
        <v>139038163</v>
      </c>
      <c r="T24" s="577">
        <f t="shared" ref="T24:T36" si="4">SUM(H24:S24)</f>
        <v>469700000</v>
      </c>
      <c r="U24" s="521">
        <f t="shared" ref="U24:U79" si="5">G24-T24</f>
        <v>0</v>
      </c>
      <c r="W24" s="606"/>
      <c r="X24" s="606"/>
    </row>
    <row r="25" spans="1:24" ht="14.25" x14ac:dyDescent="0.2">
      <c r="A25" s="570">
        <v>2020110101</v>
      </c>
      <c r="B25" s="571" t="s">
        <v>296</v>
      </c>
      <c r="C25" s="159">
        <v>0</v>
      </c>
      <c r="D25" s="572">
        <v>155847307</v>
      </c>
      <c r="E25" s="573"/>
      <c r="F25" s="574"/>
      <c r="G25" s="575">
        <f>ROUND((C25+D25+E25-F25),1)</f>
        <v>155847307</v>
      </c>
      <c r="H25" s="576">
        <v>0</v>
      </c>
      <c r="I25" s="576">
        <v>0</v>
      </c>
      <c r="J25" s="576">
        <v>0</v>
      </c>
      <c r="K25" s="607">
        <v>0</v>
      </c>
      <c r="L25" s="40">
        <v>46923039</v>
      </c>
      <c r="M25" s="40">
        <v>47621614</v>
      </c>
      <c r="N25" s="650">
        <v>46923039</v>
      </c>
      <c r="O25" s="576">
        <v>14379615</v>
      </c>
      <c r="P25" s="576"/>
      <c r="Q25" s="576"/>
      <c r="R25" s="576"/>
      <c r="S25" s="576"/>
      <c r="T25" s="577">
        <f t="shared" si="4"/>
        <v>155847307</v>
      </c>
      <c r="U25" s="521">
        <f t="shared" si="5"/>
        <v>0</v>
      </c>
      <c r="V25" s="521"/>
      <c r="W25" s="606"/>
      <c r="X25" s="606"/>
    </row>
    <row r="26" spans="1:24" ht="14.25" x14ac:dyDescent="0.2">
      <c r="A26" s="570" t="s">
        <v>10</v>
      </c>
      <c r="B26" s="571" t="s">
        <v>11</v>
      </c>
      <c r="C26" s="159">
        <v>1320000</v>
      </c>
      <c r="D26" s="572"/>
      <c r="E26" s="573"/>
      <c r="F26" s="578"/>
      <c r="G26" s="575">
        <f t="shared" ref="G26:G32" si="6">ROUND((C26+D26+E26-F26),1)</f>
        <v>1320000</v>
      </c>
      <c r="H26" s="576">
        <v>67420.866666666669</v>
      </c>
      <c r="I26" s="576">
        <v>0</v>
      </c>
      <c r="J26" s="576">
        <v>212908</v>
      </c>
      <c r="K26" s="607">
        <v>106454</v>
      </c>
      <c r="L26" s="40">
        <v>106454</v>
      </c>
      <c r="M26" s="40">
        <v>106454</v>
      </c>
      <c r="N26" s="650">
        <v>106454</v>
      </c>
      <c r="O26" s="576">
        <v>106454</v>
      </c>
      <c r="P26" s="576">
        <v>106454</v>
      </c>
      <c r="Q26" s="576">
        <v>106454</v>
      </c>
      <c r="R26" s="576">
        <v>106454</v>
      </c>
      <c r="S26" s="576">
        <f>106454+81585</f>
        <v>188039</v>
      </c>
      <c r="T26" s="577">
        <f>SUM(H26:S26)</f>
        <v>1319999.8666666667</v>
      </c>
      <c r="U26" s="521">
        <f t="shared" si="5"/>
        <v>0.13333333330228925</v>
      </c>
      <c r="W26" s="521"/>
    </row>
    <row r="27" spans="1:24" ht="14.25" x14ac:dyDescent="0.2">
      <c r="A27" s="570">
        <v>2020110104</v>
      </c>
      <c r="B27" s="571" t="s">
        <v>13</v>
      </c>
      <c r="C27" s="159">
        <v>848000</v>
      </c>
      <c r="D27" s="572"/>
      <c r="E27" s="573"/>
      <c r="F27" s="578"/>
      <c r="G27" s="575">
        <f t="shared" si="6"/>
        <v>848000</v>
      </c>
      <c r="H27" s="576">
        <v>41862</v>
      </c>
      <c r="I27" s="576">
        <v>0</v>
      </c>
      <c r="J27" s="576">
        <v>132196</v>
      </c>
      <c r="K27" s="607">
        <v>66098</v>
      </c>
      <c r="L27" s="40">
        <v>66098</v>
      </c>
      <c r="M27" s="40">
        <v>66098</v>
      </c>
      <c r="N27" s="650">
        <v>66098</v>
      </c>
      <c r="O27" s="576">
        <v>66098</v>
      </c>
      <c r="P27" s="576">
        <v>66098</v>
      </c>
      <c r="Q27" s="576">
        <v>66098</v>
      </c>
      <c r="R27" s="576">
        <v>66098</v>
      </c>
      <c r="S27" s="576">
        <f>66098+79060</f>
        <v>145158</v>
      </c>
      <c r="T27" s="577">
        <f t="shared" si="4"/>
        <v>848000</v>
      </c>
      <c r="U27" s="521">
        <f t="shared" si="5"/>
        <v>0</v>
      </c>
      <c r="W27" s="599"/>
    </row>
    <row r="28" spans="1:24" ht="14.25" x14ac:dyDescent="0.2">
      <c r="A28" s="570" t="s">
        <v>14</v>
      </c>
      <c r="B28" s="571" t="s">
        <v>15</v>
      </c>
      <c r="C28" s="159">
        <v>16300000</v>
      </c>
      <c r="D28" s="572"/>
      <c r="E28" s="573"/>
      <c r="F28" s="578"/>
      <c r="G28" s="575">
        <f t="shared" si="6"/>
        <v>16300000</v>
      </c>
      <c r="H28" s="576">
        <v>4181100</v>
      </c>
      <c r="I28" s="576">
        <v>0</v>
      </c>
      <c r="J28" s="635">
        <v>0</v>
      </c>
      <c r="K28" s="288">
        <v>806037</v>
      </c>
      <c r="L28" s="40">
        <v>1722358</v>
      </c>
      <c r="M28" s="40">
        <v>1633467</v>
      </c>
      <c r="N28" s="651">
        <v>0</v>
      </c>
      <c r="O28" s="4">
        <v>3000000</v>
      </c>
      <c r="P28" s="4">
        <v>0</v>
      </c>
      <c r="Q28" s="4">
        <v>0</v>
      </c>
      <c r="R28" s="41">
        <v>0</v>
      </c>
      <c r="S28" s="4">
        <v>4957038</v>
      </c>
      <c r="T28" s="577">
        <f t="shared" si="4"/>
        <v>16300000</v>
      </c>
      <c r="U28" s="521">
        <f t="shared" si="5"/>
        <v>0</v>
      </c>
      <c r="W28" s="521"/>
    </row>
    <row r="29" spans="1:24" ht="14.25" x14ac:dyDescent="0.2">
      <c r="A29" s="570" t="s">
        <v>16</v>
      </c>
      <c r="B29" s="571" t="s">
        <v>17</v>
      </c>
      <c r="C29" s="159">
        <v>24000000</v>
      </c>
      <c r="D29" s="572"/>
      <c r="E29" s="579"/>
      <c r="F29" s="578"/>
      <c r="G29" s="575">
        <f t="shared" si="6"/>
        <v>24000000</v>
      </c>
      <c r="H29" s="576"/>
      <c r="I29" s="576">
        <v>0</v>
      </c>
      <c r="J29" s="576">
        <v>0</v>
      </c>
      <c r="K29" s="607">
        <v>1169522</v>
      </c>
      <c r="L29" s="40">
        <v>0</v>
      </c>
      <c r="M29" s="40">
        <v>0</v>
      </c>
      <c r="N29" s="652">
        <v>22830478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577">
        <f t="shared" si="4"/>
        <v>24000000</v>
      </c>
      <c r="U29" s="521">
        <f t="shared" si="5"/>
        <v>0</v>
      </c>
      <c r="W29" s="521"/>
    </row>
    <row r="30" spans="1:24" ht="14.25" x14ac:dyDescent="0.2">
      <c r="A30" s="570" t="s">
        <v>18</v>
      </c>
      <c r="B30" s="571" t="s">
        <v>19</v>
      </c>
      <c r="C30" s="159">
        <v>24787000</v>
      </c>
      <c r="D30" s="572"/>
      <c r="E30" s="573"/>
      <c r="F30" s="580"/>
      <c r="G30" s="575">
        <f t="shared" si="6"/>
        <v>24787000</v>
      </c>
      <c r="H30" s="576"/>
      <c r="I30" s="576">
        <v>0</v>
      </c>
      <c r="J30" s="635">
        <v>0</v>
      </c>
      <c r="K30" s="288">
        <v>1227342</v>
      </c>
      <c r="L30" s="40">
        <v>1901467</v>
      </c>
      <c r="M30" s="40">
        <v>0</v>
      </c>
      <c r="N30" s="651">
        <v>0</v>
      </c>
      <c r="O30" s="4">
        <v>0</v>
      </c>
      <c r="P30" s="581">
        <v>0</v>
      </c>
      <c r="Q30" s="581">
        <v>0</v>
      </c>
      <c r="R30" s="581">
        <v>0</v>
      </c>
      <c r="S30" s="581">
        <v>21658191</v>
      </c>
      <c r="T30" s="577">
        <f t="shared" si="4"/>
        <v>24787000</v>
      </c>
      <c r="U30" s="521">
        <f t="shared" si="5"/>
        <v>0</v>
      </c>
    </row>
    <row r="31" spans="1:24" ht="14.25" x14ac:dyDescent="0.2">
      <c r="A31" s="570">
        <v>2020110109</v>
      </c>
      <c r="B31" s="571" t="s">
        <v>20</v>
      </c>
      <c r="C31" s="159">
        <v>41330000</v>
      </c>
      <c r="D31" s="572"/>
      <c r="E31" s="573"/>
      <c r="F31" s="580"/>
      <c r="G31" s="575">
        <f t="shared" si="6"/>
        <v>41330000</v>
      </c>
      <c r="H31" s="576"/>
      <c r="I31" s="576">
        <v>0</v>
      </c>
      <c r="J31" s="635">
        <v>0</v>
      </c>
      <c r="K31" s="288">
        <v>1949190</v>
      </c>
      <c r="L31" s="40">
        <v>0</v>
      </c>
      <c r="M31" s="40">
        <v>0</v>
      </c>
      <c r="N31" s="651">
        <v>0</v>
      </c>
      <c r="O31" s="4">
        <v>0</v>
      </c>
      <c r="P31" s="4">
        <v>0</v>
      </c>
      <c r="Q31" s="4">
        <v>0</v>
      </c>
      <c r="R31" s="4">
        <v>0</v>
      </c>
      <c r="S31" s="581">
        <v>39380810</v>
      </c>
      <c r="T31" s="577">
        <f>SUM(H31:S31)</f>
        <v>41330000</v>
      </c>
      <c r="U31" s="521">
        <f t="shared" si="5"/>
        <v>0</v>
      </c>
      <c r="W31" s="521"/>
    </row>
    <row r="32" spans="1:24" ht="15" thickBot="1" x14ac:dyDescent="0.25">
      <c r="A32" s="570">
        <v>2020110108</v>
      </c>
      <c r="B32" s="571" t="s">
        <v>21</v>
      </c>
      <c r="C32" s="159">
        <v>55000000</v>
      </c>
      <c r="D32" s="572"/>
      <c r="E32" s="573"/>
      <c r="F32" s="578"/>
      <c r="G32" s="575">
        <f t="shared" si="6"/>
        <v>55000000</v>
      </c>
      <c r="H32" s="576"/>
      <c r="I32" s="576">
        <v>0</v>
      </c>
      <c r="J32" s="635">
        <v>0</v>
      </c>
      <c r="K32" s="288">
        <v>939517</v>
      </c>
      <c r="L32" s="40">
        <v>3007690</v>
      </c>
      <c r="M32" s="40">
        <v>0</v>
      </c>
      <c r="N32" s="651"/>
      <c r="O32" s="4">
        <v>0</v>
      </c>
      <c r="P32" s="4">
        <v>0</v>
      </c>
      <c r="Q32" s="4">
        <v>0</v>
      </c>
      <c r="R32" s="4">
        <v>0</v>
      </c>
      <c r="S32" s="4">
        <v>51052793</v>
      </c>
      <c r="T32" s="577">
        <f t="shared" si="4"/>
        <v>55000000</v>
      </c>
      <c r="U32" s="521">
        <f t="shared" si="5"/>
        <v>0</v>
      </c>
    </row>
    <row r="33" spans="1:22" x14ac:dyDescent="0.2">
      <c r="A33" s="113">
        <v>20201102</v>
      </c>
      <c r="B33" s="565" t="s">
        <v>130</v>
      </c>
      <c r="C33" s="565">
        <f t="shared" ref="C33:J33" si="7">SUM(C34:C36)</f>
        <v>77000000</v>
      </c>
      <c r="D33" s="565">
        <f t="shared" si="7"/>
        <v>0</v>
      </c>
      <c r="E33" s="565">
        <f t="shared" si="7"/>
        <v>40000000</v>
      </c>
      <c r="F33" s="565">
        <f t="shared" si="7"/>
        <v>0</v>
      </c>
      <c r="G33" s="108">
        <f t="shared" si="7"/>
        <v>117000000</v>
      </c>
      <c r="H33" s="108">
        <f t="shared" si="7"/>
        <v>25400000</v>
      </c>
      <c r="I33" s="108">
        <f t="shared" si="7"/>
        <v>7000000</v>
      </c>
      <c r="J33" s="108">
        <f t="shared" si="7"/>
        <v>28000000</v>
      </c>
      <c r="K33" s="108">
        <f t="shared" ref="K33:T33" si="8">SUM(K34:K36)</f>
        <v>9000000</v>
      </c>
      <c r="L33" s="108">
        <f t="shared" si="8"/>
        <v>14000000</v>
      </c>
      <c r="M33" s="108">
        <f t="shared" si="8"/>
        <v>0</v>
      </c>
      <c r="N33" s="108">
        <f t="shared" si="8"/>
        <v>19400000</v>
      </c>
      <c r="O33" s="108">
        <f t="shared" si="8"/>
        <v>12800000</v>
      </c>
      <c r="P33" s="108">
        <f t="shared" si="8"/>
        <v>0</v>
      </c>
      <c r="Q33" s="108">
        <f t="shared" si="8"/>
        <v>0</v>
      </c>
      <c r="R33" s="108">
        <f t="shared" si="8"/>
        <v>1400000</v>
      </c>
      <c r="S33" s="108">
        <f t="shared" si="8"/>
        <v>0</v>
      </c>
      <c r="T33" s="108">
        <f t="shared" si="8"/>
        <v>117000000</v>
      </c>
      <c r="U33" s="521">
        <v>0</v>
      </c>
    </row>
    <row r="34" spans="1:22" ht="14.25" x14ac:dyDescent="0.2">
      <c r="A34" s="570" t="s">
        <v>24</v>
      </c>
      <c r="B34" s="582" t="s">
        <v>25</v>
      </c>
      <c r="C34" s="159">
        <v>60000000</v>
      </c>
      <c r="D34" s="572"/>
      <c r="E34" s="579">
        <v>20000000</v>
      </c>
      <c r="F34" s="578"/>
      <c r="G34" s="575">
        <f>C34+D34+E34-F34</f>
        <v>80000000</v>
      </c>
      <c r="H34" s="581">
        <v>16800000</v>
      </c>
      <c r="I34" s="576">
        <v>3400000</v>
      </c>
      <c r="J34" s="576">
        <v>28000000</v>
      </c>
      <c r="K34" s="607">
        <v>0</v>
      </c>
      <c r="L34" s="40">
        <v>14000000</v>
      </c>
      <c r="M34" s="40">
        <v>0</v>
      </c>
      <c r="N34" s="650">
        <v>5000000</v>
      </c>
      <c r="O34" s="576">
        <v>12800000</v>
      </c>
      <c r="P34" s="576">
        <v>0</v>
      </c>
      <c r="Q34" s="576"/>
      <c r="R34" s="576"/>
      <c r="S34" s="576">
        <v>0</v>
      </c>
      <c r="T34" s="577">
        <f t="shared" si="4"/>
        <v>80000000</v>
      </c>
      <c r="U34" s="521">
        <f t="shared" si="5"/>
        <v>0</v>
      </c>
    </row>
    <row r="35" spans="1:22" ht="14.25" x14ac:dyDescent="0.2">
      <c r="A35" s="570" t="s">
        <v>26</v>
      </c>
      <c r="B35" s="571" t="s">
        <v>27</v>
      </c>
      <c r="C35" s="159">
        <v>17000000</v>
      </c>
      <c r="D35" s="572"/>
      <c r="E35" s="573">
        <v>20000000</v>
      </c>
      <c r="F35" s="578"/>
      <c r="G35" s="575">
        <f>C35+D35+E35-F35</f>
        <v>37000000</v>
      </c>
      <c r="H35" s="575">
        <v>8600000</v>
      </c>
      <c r="I35" s="575">
        <v>3600000</v>
      </c>
      <c r="J35" s="575">
        <v>0</v>
      </c>
      <c r="K35" s="608">
        <v>9000000</v>
      </c>
      <c r="L35" s="40">
        <v>0</v>
      </c>
      <c r="M35" s="658">
        <v>0</v>
      </c>
      <c r="N35" s="653">
        <v>14400000</v>
      </c>
      <c r="O35" s="575">
        <v>0</v>
      </c>
      <c r="P35" s="575">
        <v>0</v>
      </c>
      <c r="Q35" s="575">
        <v>0</v>
      </c>
      <c r="R35" s="575">
        <v>1400000</v>
      </c>
      <c r="S35" s="575">
        <v>0</v>
      </c>
      <c r="T35" s="577">
        <f t="shared" si="4"/>
        <v>37000000</v>
      </c>
      <c r="U35" s="521">
        <f>G35-T35</f>
        <v>0</v>
      </c>
    </row>
    <row r="36" spans="1:22" ht="14.25" x14ac:dyDescent="0.2">
      <c r="A36" s="570" t="s">
        <v>28</v>
      </c>
      <c r="B36" s="583" t="s">
        <v>29</v>
      </c>
      <c r="C36" s="159">
        <v>0</v>
      </c>
      <c r="D36" s="572"/>
      <c r="E36" s="573"/>
      <c r="F36" s="578"/>
      <c r="G36" s="575">
        <f>C36+D36+E36-F36</f>
        <v>0</v>
      </c>
      <c r="H36" s="575">
        <f>D36+E36+F36-G36</f>
        <v>0</v>
      </c>
      <c r="I36" s="575">
        <f>E36+F36+G36-H36</f>
        <v>0</v>
      </c>
      <c r="J36" s="575">
        <v>0</v>
      </c>
      <c r="K36" s="608">
        <v>0</v>
      </c>
      <c r="L36" s="40">
        <v>0</v>
      </c>
      <c r="M36" s="658">
        <v>0</v>
      </c>
      <c r="N36" s="653">
        <v>0</v>
      </c>
      <c r="O36" s="575"/>
      <c r="P36" s="575"/>
      <c r="Q36" s="575">
        <v>0</v>
      </c>
      <c r="R36" s="575">
        <v>0</v>
      </c>
      <c r="S36" s="575">
        <v>0</v>
      </c>
      <c r="T36" s="577">
        <f t="shared" si="4"/>
        <v>0</v>
      </c>
      <c r="U36" s="521">
        <f t="shared" si="5"/>
        <v>0</v>
      </c>
    </row>
    <row r="37" spans="1:22" ht="24" customHeight="1" thickBot="1" x14ac:dyDescent="0.25">
      <c r="A37" s="552"/>
      <c r="B37" s="584" t="s">
        <v>131</v>
      </c>
      <c r="C37" s="585">
        <f>C38+C43</f>
        <v>185527607</v>
      </c>
      <c r="D37" s="567">
        <f>D38+D43</f>
        <v>0</v>
      </c>
      <c r="E37" s="568">
        <f>E38+E43+E59</f>
        <v>23300000</v>
      </c>
      <c r="F37" s="568">
        <f>F38+F43+F59</f>
        <v>0</v>
      </c>
      <c r="G37" s="568">
        <f>G38+G43</f>
        <v>208827607</v>
      </c>
      <c r="H37" s="568">
        <f>H38+H43</f>
        <v>6992042</v>
      </c>
      <c r="I37" s="568">
        <f>I38+I43</f>
        <v>40454347</v>
      </c>
      <c r="J37" s="568">
        <f>J38+J43</f>
        <v>10654116</v>
      </c>
      <c r="K37" s="568">
        <f t="shared" ref="K37:S37" si="9">K38+K43</f>
        <v>7824054</v>
      </c>
      <c r="L37" s="568">
        <f t="shared" si="9"/>
        <v>8409823</v>
      </c>
      <c r="M37" s="568">
        <f t="shared" si="9"/>
        <v>28155239</v>
      </c>
      <c r="N37" s="568">
        <f t="shared" si="9"/>
        <v>52311438</v>
      </c>
      <c r="O37" s="568">
        <f t="shared" si="9"/>
        <v>7811438</v>
      </c>
      <c r="P37" s="568">
        <f t="shared" si="9"/>
        <v>10149045</v>
      </c>
      <c r="Q37" s="568">
        <f t="shared" si="9"/>
        <v>8172238</v>
      </c>
      <c r="R37" s="568">
        <f t="shared" si="9"/>
        <v>6684438</v>
      </c>
      <c r="S37" s="568">
        <f t="shared" si="9"/>
        <v>21209389</v>
      </c>
      <c r="T37" s="585">
        <f>T43+T38</f>
        <v>208827607</v>
      </c>
      <c r="U37" s="521">
        <f t="shared" si="5"/>
        <v>0</v>
      </c>
    </row>
    <row r="38" spans="1:22" x14ac:dyDescent="0.2">
      <c r="A38" s="113">
        <v>20201201</v>
      </c>
      <c r="B38" s="565" t="s">
        <v>132</v>
      </c>
      <c r="C38" s="108">
        <f t="shared" ref="C38:J38" si="10">SUM(C39:C42)</f>
        <v>27300000</v>
      </c>
      <c r="D38" s="565">
        <f t="shared" si="10"/>
        <v>0</v>
      </c>
      <c r="E38" s="565">
        <f t="shared" si="10"/>
        <v>10300000</v>
      </c>
      <c r="F38" s="565">
        <f t="shared" si="10"/>
        <v>0</v>
      </c>
      <c r="G38" s="108">
        <f t="shared" si="10"/>
        <v>37600000</v>
      </c>
      <c r="H38" s="108">
        <f t="shared" si="10"/>
        <v>1300000</v>
      </c>
      <c r="I38" s="108">
        <f t="shared" si="10"/>
        <v>17991039</v>
      </c>
      <c r="J38" s="108">
        <f t="shared" si="10"/>
        <v>1295961</v>
      </c>
      <c r="K38" s="108">
        <f t="shared" ref="K38:T38" si="11">SUM(K39:K42)</f>
        <v>2900000</v>
      </c>
      <c r="L38" s="108">
        <f t="shared" si="11"/>
        <v>1300000</v>
      </c>
      <c r="M38" s="108">
        <f t="shared" si="11"/>
        <v>899900</v>
      </c>
      <c r="N38" s="108">
        <f t="shared" si="11"/>
        <v>7300000</v>
      </c>
      <c r="O38" s="108">
        <f t="shared" si="11"/>
        <v>1300000</v>
      </c>
      <c r="P38" s="108">
        <f t="shared" si="11"/>
        <v>1300000</v>
      </c>
      <c r="Q38" s="108">
        <f t="shared" si="11"/>
        <v>1300000</v>
      </c>
      <c r="R38" s="108">
        <f t="shared" si="11"/>
        <v>313000</v>
      </c>
      <c r="S38" s="108">
        <f t="shared" si="11"/>
        <v>400100</v>
      </c>
      <c r="T38" s="108">
        <f t="shared" si="11"/>
        <v>37600000</v>
      </c>
      <c r="U38" s="521">
        <f t="shared" si="5"/>
        <v>0</v>
      </c>
    </row>
    <row r="39" spans="1:22" ht="14.25" x14ac:dyDescent="0.2">
      <c r="A39" s="570" t="s">
        <v>32</v>
      </c>
      <c r="B39" s="583" t="s">
        <v>33</v>
      </c>
      <c r="C39" s="159">
        <v>6000000</v>
      </c>
      <c r="D39" s="572"/>
      <c r="E39" s="573"/>
      <c r="F39" s="578"/>
      <c r="G39" s="575">
        <f>C39+D39+E39-F39</f>
        <v>6000000</v>
      </c>
      <c r="H39" s="581">
        <v>0</v>
      </c>
      <c r="I39" s="636">
        <v>0</v>
      </c>
      <c r="J39" s="636">
        <v>0</v>
      </c>
      <c r="K39" s="289">
        <v>0</v>
      </c>
      <c r="L39" s="40">
        <v>0</v>
      </c>
      <c r="M39" s="289">
        <v>0</v>
      </c>
      <c r="N39" s="654">
        <v>6000000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577">
        <f t="shared" ref="T39:T64" si="12">SUM(H39:S39)</f>
        <v>6000000</v>
      </c>
      <c r="U39" s="521">
        <f t="shared" si="5"/>
        <v>0</v>
      </c>
    </row>
    <row r="40" spans="1:22" ht="14.25" x14ac:dyDescent="0.2">
      <c r="A40" s="570" t="s">
        <v>34</v>
      </c>
      <c r="B40" s="586" t="s">
        <v>35</v>
      </c>
      <c r="C40" s="159">
        <v>20000000</v>
      </c>
      <c r="D40" s="45"/>
      <c r="E40" s="573">
        <v>10000000</v>
      </c>
      <c r="F40" s="578"/>
      <c r="G40" s="575">
        <f>C40+D40+E40-F40</f>
        <v>30000000</v>
      </c>
      <c r="H40" s="576">
        <v>1300000</v>
      </c>
      <c r="I40" s="576">
        <v>17991039</v>
      </c>
      <c r="J40" s="576">
        <v>1295961</v>
      </c>
      <c r="K40" s="607">
        <v>1300000</v>
      </c>
      <c r="L40" s="40">
        <v>1300000</v>
      </c>
      <c r="M40" s="40">
        <v>1300000</v>
      </c>
      <c r="N40" s="650">
        <v>1300000</v>
      </c>
      <c r="O40" s="576">
        <v>1300000</v>
      </c>
      <c r="P40" s="576">
        <v>1300000</v>
      </c>
      <c r="Q40" s="576">
        <v>1300000</v>
      </c>
      <c r="R40" s="576">
        <v>313000</v>
      </c>
      <c r="S40" s="576">
        <v>0</v>
      </c>
      <c r="T40" s="577">
        <f t="shared" si="12"/>
        <v>30000000</v>
      </c>
      <c r="U40" s="521">
        <f t="shared" si="5"/>
        <v>0</v>
      </c>
    </row>
    <row r="41" spans="1:22" ht="14.25" x14ac:dyDescent="0.2">
      <c r="A41" s="570">
        <v>2020120104</v>
      </c>
      <c r="B41" s="583" t="s">
        <v>37</v>
      </c>
      <c r="C41" s="159">
        <v>1300000</v>
      </c>
      <c r="D41" s="572"/>
      <c r="E41" s="573">
        <v>300000</v>
      </c>
      <c r="F41" s="578"/>
      <c r="G41" s="575">
        <f>C41+D41+E41-F41</f>
        <v>1600000</v>
      </c>
      <c r="H41" s="581"/>
      <c r="I41" s="576">
        <v>0</v>
      </c>
      <c r="J41" s="576">
        <v>0</v>
      </c>
      <c r="K41" s="607">
        <v>1600000</v>
      </c>
      <c r="L41" s="40">
        <v>0</v>
      </c>
      <c r="M41" s="44">
        <v>-400100</v>
      </c>
      <c r="N41" s="652">
        <v>0</v>
      </c>
      <c r="O41" s="41">
        <v>0</v>
      </c>
      <c r="P41" s="41">
        <v>0</v>
      </c>
      <c r="Q41" s="41">
        <v>0</v>
      </c>
      <c r="R41" s="41">
        <v>0</v>
      </c>
      <c r="S41" s="41">
        <v>400100</v>
      </c>
      <c r="T41" s="577">
        <f t="shared" si="12"/>
        <v>1600000</v>
      </c>
      <c r="U41" s="521">
        <f t="shared" si="5"/>
        <v>0</v>
      </c>
      <c r="V41" s="521"/>
    </row>
    <row r="42" spans="1:22" ht="14.25" x14ac:dyDescent="0.2">
      <c r="A42" s="570" t="s">
        <v>38</v>
      </c>
      <c r="B42" s="583" t="s">
        <v>39</v>
      </c>
      <c r="C42" s="156">
        <v>0</v>
      </c>
      <c r="D42" s="572">
        <v>0</v>
      </c>
      <c r="E42" s="573">
        <v>0</v>
      </c>
      <c r="F42" s="578">
        <v>0</v>
      </c>
      <c r="G42" s="575">
        <f>C42+D42+E42-F42</f>
        <v>0</v>
      </c>
      <c r="H42" s="581">
        <f>ROUND($G$42/12,-1)</f>
        <v>0</v>
      </c>
      <c r="I42" s="576">
        <v>0</v>
      </c>
      <c r="J42" s="576">
        <v>0</v>
      </c>
      <c r="K42" s="607">
        <v>0</v>
      </c>
      <c r="L42" s="40">
        <v>0</v>
      </c>
      <c r="M42" s="44">
        <v>0</v>
      </c>
      <c r="N42" s="652">
        <f>ROUND($G$42/12,-1)</f>
        <v>0</v>
      </c>
      <c r="O42" s="41">
        <f>ROUND($G$42/12,-1)</f>
        <v>0</v>
      </c>
      <c r="P42" s="41">
        <f>ROUND($G$42/12,-1)</f>
        <v>0</v>
      </c>
      <c r="Q42" s="41">
        <f>ROUND($G$42/12,-1)</f>
        <v>0</v>
      </c>
      <c r="R42" s="41">
        <f>ROUND($G$42/12,-1)</f>
        <v>0</v>
      </c>
      <c r="S42" s="41">
        <f>G42-SUM(H42:R42)</f>
        <v>0</v>
      </c>
      <c r="T42" s="577">
        <f t="shared" si="12"/>
        <v>0</v>
      </c>
      <c r="U42" s="521">
        <f t="shared" si="5"/>
        <v>0</v>
      </c>
    </row>
    <row r="43" spans="1:22" x14ac:dyDescent="0.2">
      <c r="A43" s="113" t="s">
        <v>40</v>
      </c>
      <c r="B43" s="101" t="s">
        <v>133</v>
      </c>
      <c r="C43" s="167">
        <f>SUM(C44:C59)</f>
        <v>158227607</v>
      </c>
      <c r="D43" s="101">
        <f>SUM(D44:D57)</f>
        <v>0</v>
      </c>
      <c r="E43" s="102">
        <f>SUM(E44:E58)</f>
        <v>13000000</v>
      </c>
      <c r="F43" s="102">
        <f>SUM(F44:F58)</f>
        <v>0</v>
      </c>
      <c r="G43" s="102">
        <f t="shared" ref="G43:L43" si="13">ROUND(SUM(G44:G59),0)</f>
        <v>171227607</v>
      </c>
      <c r="H43" s="102">
        <f t="shared" si="13"/>
        <v>5692042</v>
      </c>
      <c r="I43" s="102">
        <f t="shared" si="13"/>
        <v>22463308</v>
      </c>
      <c r="J43" s="102">
        <f t="shared" si="13"/>
        <v>9358155</v>
      </c>
      <c r="K43" s="102">
        <f t="shared" si="13"/>
        <v>4924054</v>
      </c>
      <c r="L43" s="102">
        <f t="shared" si="13"/>
        <v>7109823</v>
      </c>
      <c r="M43" s="102">
        <f>ROUND(SUM(M44:M58),0)</f>
        <v>27255339</v>
      </c>
      <c r="N43" s="102">
        <f>ROUND(SUM(N44:N58),0)</f>
        <v>45011438</v>
      </c>
      <c r="O43" s="102">
        <f>ROUND(SUM(O44:O58),0)</f>
        <v>6511438</v>
      </c>
      <c r="P43" s="102">
        <f>ROUND(SUM(P44:P59),0)</f>
        <v>8849045</v>
      </c>
      <c r="Q43" s="102">
        <f>ROUND(SUM(Q44:Q59),0)</f>
        <v>6872238</v>
      </c>
      <c r="R43" s="102">
        <f>ROUND(SUM(R44:R59),0)</f>
        <v>6371438</v>
      </c>
      <c r="S43" s="102">
        <f>ROUND(SUM(S44:S59),0)</f>
        <v>20809289</v>
      </c>
      <c r="T43" s="103">
        <f>SUM(T44:T59)</f>
        <v>171227607</v>
      </c>
      <c r="U43" s="521">
        <f t="shared" si="5"/>
        <v>0</v>
      </c>
    </row>
    <row r="44" spans="1:22" ht="14.25" x14ac:dyDescent="0.2">
      <c r="A44" s="570" t="s">
        <v>42</v>
      </c>
      <c r="B44" s="583" t="s">
        <v>43</v>
      </c>
      <c r="C44" s="159">
        <v>9400000</v>
      </c>
      <c r="D44" s="45"/>
      <c r="E44" s="579">
        <v>3000000</v>
      </c>
      <c r="F44" s="578"/>
      <c r="G44" s="575">
        <f>C44+D44+E44-F44</f>
        <v>12400000</v>
      </c>
      <c r="H44" s="635">
        <v>1400000</v>
      </c>
      <c r="I44" s="576">
        <v>0</v>
      </c>
      <c r="J44" s="576">
        <v>1400000</v>
      </c>
      <c r="K44" s="607">
        <v>1400000</v>
      </c>
      <c r="L44" s="634">
        <v>1400000</v>
      </c>
      <c r="M44" s="40">
        <v>1400000</v>
      </c>
      <c r="N44" s="650">
        <v>1400000</v>
      </c>
      <c r="O44" s="576">
        <v>1400000</v>
      </c>
      <c r="P44" s="576">
        <v>1400000</v>
      </c>
      <c r="Q44" s="576">
        <v>1200000</v>
      </c>
      <c r="R44" s="576">
        <v>0</v>
      </c>
      <c r="S44" s="576">
        <v>0</v>
      </c>
      <c r="T44" s="577">
        <f>SUM(H44:S44)</f>
        <v>12400000</v>
      </c>
      <c r="U44" s="521">
        <f t="shared" si="5"/>
        <v>0</v>
      </c>
    </row>
    <row r="45" spans="1:22" ht="14.25" x14ac:dyDescent="0.2">
      <c r="A45" s="570">
        <v>2020120202</v>
      </c>
      <c r="B45" s="583" t="s">
        <v>44</v>
      </c>
      <c r="C45" s="159">
        <v>73027607</v>
      </c>
      <c r="D45" s="45"/>
      <c r="E45" s="579"/>
      <c r="F45" s="578"/>
      <c r="G45" s="575">
        <f t="shared" ref="G45:G78" si="14">C45+D45+E45-F45</f>
        <v>73027607</v>
      </c>
      <c r="H45" s="635">
        <v>2642664</v>
      </c>
      <c r="I45" s="576">
        <v>17577876</v>
      </c>
      <c r="J45" s="576">
        <v>5605401</v>
      </c>
      <c r="K45" s="607">
        <v>1599322</v>
      </c>
      <c r="L45" s="634">
        <v>3898305</v>
      </c>
      <c r="M45" s="40">
        <v>18634211</v>
      </c>
      <c r="N45" s="650">
        <v>5000000</v>
      </c>
      <c r="O45" s="576">
        <v>3500000</v>
      </c>
      <c r="P45" s="576">
        <v>4027607</v>
      </c>
      <c r="Q45" s="576">
        <v>4375000</v>
      </c>
      <c r="R45" s="576">
        <v>2000000</v>
      </c>
      <c r="S45" s="576">
        <f>4167221</f>
        <v>4167221</v>
      </c>
      <c r="T45" s="577">
        <f t="shared" si="12"/>
        <v>73027607</v>
      </c>
      <c r="U45" s="521">
        <f t="shared" si="5"/>
        <v>0</v>
      </c>
    </row>
    <row r="46" spans="1:22" ht="14.25" x14ac:dyDescent="0.2">
      <c r="A46" s="570" t="s">
        <v>45</v>
      </c>
      <c r="B46" s="583" t="s">
        <v>46</v>
      </c>
      <c r="C46" s="159">
        <v>2000000</v>
      </c>
      <c r="D46" s="572"/>
      <c r="E46" s="573"/>
      <c r="F46" s="578"/>
      <c r="G46" s="575">
        <f t="shared" si="14"/>
        <v>2000000</v>
      </c>
      <c r="H46" s="635">
        <v>300000</v>
      </c>
      <c r="I46" s="635">
        <v>0</v>
      </c>
      <c r="J46" s="635">
        <v>190000</v>
      </c>
      <c r="K46" s="288">
        <v>300000</v>
      </c>
      <c r="L46" s="634">
        <v>300000</v>
      </c>
      <c r="M46" s="288">
        <v>300000</v>
      </c>
      <c r="N46" s="651">
        <v>300000</v>
      </c>
      <c r="O46" s="4">
        <v>300000</v>
      </c>
      <c r="P46" s="4">
        <v>10000</v>
      </c>
      <c r="Q46" s="4">
        <v>0</v>
      </c>
      <c r="R46" s="41">
        <v>0</v>
      </c>
      <c r="S46" s="41">
        <v>0</v>
      </c>
      <c r="T46" s="577">
        <f t="shared" si="12"/>
        <v>2000000</v>
      </c>
      <c r="U46" s="521">
        <f t="shared" si="5"/>
        <v>0</v>
      </c>
    </row>
    <row r="47" spans="1:22" ht="18.75" customHeight="1" x14ac:dyDescent="0.2">
      <c r="A47" s="570" t="s">
        <v>47</v>
      </c>
      <c r="B47" s="583" t="s">
        <v>48</v>
      </c>
      <c r="C47" s="159">
        <f>750000*12</f>
        <v>9000000</v>
      </c>
      <c r="D47" s="572"/>
      <c r="E47" s="573"/>
      <c r="F47" s="578"/>
      <c r="G47" s="575">
        <f t="shared" si="14"/>
        <v>9000000</v>
      </c>
      <c r="H47" s="635">
        <v>784000</v>
      </c>
      <c r="I47" s="576">
        <v>544700</v>
      </c>
      <c r="J47" s="576">
        <v>1230400</v>
      </c>
      <c r="K47" s="607">
        <v>907900</v>
      </c>
      <c r="L47" s="634">
        <v>789400</v>
      </c>
      <c r="M47" s="40">
        <v>907600</v>
      </c>
      <c r="N47" s="650">
        <v>589400</v>
      </c>
      <c r="O47" s="576">
        <v>589400</v>
      </c>
      <c r="P47" s="576">
        <v>689400</v>
      </c>
      <c r="Q47" s="576">
        <v>689400</v>
      </c>
      <c r="R47" s="576">
        <v>689400</v>
      </c>
      <c r="S47" s="576">
        <v>589000</v>
      </c>
      <c r="T47" s="577">
        <f t="shared" si="12"/>
        <v>9000000</v>
      </c>
      <c r="U47" s="521">
        <f t="shared" si="5"/>
        <v>0</v>
      </c>
    </row>
    <row r="48" spans="1:22" ht="14.25" x14ac:dyDescent="0.2">
      <c r="A48" s="570" t="s">
        <v>49</v>
      </c>
      <c r="B48" s="583" t="s">
        <v>50</v>
      </c>
      <c r="C48" s="159">
        <v>4500000</v>
      </c>
      <c r="D48" s="572"/>
      <c r="E48" s="579"/>
      <c r="F48" s="578"/>
      <c r="G48" s="575">
        <f t="shared" si="14"/>
        <v>4500000</v>
      </c>
      <c r="H48" s="635">
        <v>190400</v>
      </c>
      <c r="I48" s="576">
        <v>151957</v>
      </c>
      <c r="J48" s="576">
        <v>687434</v>
      </c>
      <c r="K48" s="607">
        <v>340802</v>
      </c>
      <c r="L48" s="634">
        <v>342238</v>
      </c>
      <c r="M48" s="40">
        <v>342238</v>
      </c>
      <c r="N48" s="650">
        <v>342238</v>
      </c>
      <c r="O48" s="576">
        <v>342238</v>
      </c>
      <c r="P48" s="576">
        <v>342238</v>
      </c>
      <c r="Q48" s="576">
        <v>342238</v>
      </c>
      <c r="R48" s="576">
        <v>342238</v>
      </c>
      <c r="S48" s="576">
        <f>469407+226572+37762</f>
        <v>733741</v>
      </c>
      <c r="T48" s="577">
        <f t="shared" si="12"/>
        <v>4500000</v>
      </c>
      <c r="U48" s="521">
        <f t="shared" si="5"/>
        <v>0</v>
      </c>
    </row>
    <row r="49" spans="1:23" ht="14.25" x14ac:dyDescent="0.2">
      <c r="A49" s="570" t="s">
        <v>51</v>
      </c>
      <c r="B49" s="583" t="s">
        <v>52</v>
      </c>
      <c r="C49" s="159">
        <v>2500000</v>
      </c>
      <c r="D49" s="572"/>
      <c r="E49" s="573"/>
      <c r="F49" s="578"/>
      <c r="G49" s="575">
        <f t="shared" si="14"/>
        <v>2500000</v>
      </c>
      <c r="H49" s="636">
        <v>56600</v>
      </c>
      <c r="I49" s="576">
        <v>157814</v>
      </c>
      <c r="J49" s="576">
        <v>230720</v>
      </c>
      <c r="K49" s="607">
        <v>176030</v>
      </c>
      <c r="L49" s="634">
        <v>179880</v>
      </c>
      <c r="M49" s="40">
        <v>116290</v>
      </c>
      <c r="N49" s="650">
        <v>179800</v>
      </c>
      <c r="O49" s="576">
        <v>179800</v>
      </c>
      <c r="P49" s="576">
        <v>179800</v>
      </c>
      <c r="Q49" s="576">
        <v>179800</v>
      </c>
      <c r="R49" s="576">
        <v>179800</v>
      </c>
      <c r="S49" s="576">
        <f>590000+93666</f>
        <v>683666</v>
      </c>
      <c r="T49" s="577">
        <f t="shared" si="12"/>
        <v>2500000</v>
      </c>
      <c r="U49" s="521">
        <f t="shared" si="5"/>
        <v>0</v>
      </c>
    </row>
    <row r="50" spans="1:23" ht="14.25" x14ac:dyDescent="0.2">
      <c r="A50" s="570" t="s">
        <v>53</v>
      </c>
      <c r="B50" s="586" t="s">
        <v>54</v>
      </c>
      <c r="C50" s="159">
        <v>1500000</v>
      </c>
      <c r="D50" s="572"/>
      <c r="E50" s="573"/>
      <c r="F50" s="578"/>
      <c r="G50" s="575">
        <f t="shared" si="14"/>
        <v>1500000</v>
      </c>
      <c r="H50" s="635">
        <v>200000</v>
      </c>
      <c r="I50" s="576">
        <v>0</v>
      </c>
      <c r="J50" s="576">
        <v>14200</v>
      </c>
      <c r="K50" s="607">
        <v>200000</v>
      </c>
      <c r="L50" s="634">
        <v>200000</v>
      </c>
      <c r="M50" s="40">
        <v>200000</v>
      </c>
      <c r="N50" s="650">
        <v>200000</v>
      </c>
      <c r="O50" s="576">
        <v>200000</v>
      </c>
      <c r="P50" s="576">
        <v>200000</v>
      </c>
      <c r="Q50" s="576">
        <v>85800</v>
      </c>
      <c r="R50" s="576"/>
      <c r="S50" s="576"/>
      <c r="T50" s="577">
        <f t="shared" si="12"/>
        <v>1500000</v>
      </c>
      <c r="U50" s="521">
        <f t="shared" si="5"/>
        <v>0</v>
      </c>
    </row>
    <row r="51" spans="1:23" ht="14.25" x14ac:dyDescent="0.2">
      <c r="A51" s="570" t="s">
        <v>55</v>
      </c>
      <c r="B51" s="583" t="s">
        <v>56</v>
      </c>
      <c r="C51" s="159">
        <v>0</v>
      </c>
      <c r="D51" s="572"/>
      <c r="E51" s="573"/>
      <c r="F51" s="578"/>
      <c r="G51" s="575">
        <f t="shared" si="14"/>
        <v>0</v>
      </c>
      <c r="H51" s="575">
        <v>0</v>
      </c>
      <c r="I51" s="575">
        <v>0</v>
      </c>
      <c r="J51" s="575">
        <v>0</v>
      </c>
      <c r="K51" s="608">
        <v>0</v>
      </c>
      <c r="L51" s="634">
        <v>0</v>
      </c>
      <c r="M51" s="658">
        <v>0</v>
      </c>
      <c r="N51" s="653"/>
      <c r="O51" s="575"/>
      <c r="P51" s="575"/>
      <c r="Q51" s="575"/>
      <c r="R51" s="575"/>
      <c r="S51" s="575"/>
      <c r="T51" s="577">
        <f t="shared" si="12"/>
        <v>0</v>
      </c>
      <c r="U51" s="521">
        <f t="shared" si="5"/>
        <v>0</v>
      </c>
    </row>
    <row r="52" spans="1:23" ht="14.25" x14ac:dyDescent="0.2">
      <c r="A52" s="570" t="s">
        <v>57</v>
      </c>
      <c r="B52" s="583" t="s">
        <v>58</v>
      </c>
      <c r="C52" s="159">
        <v>5000000</v>
      </c>
      <c r="D52" s="572"/>
      <c r="E52" s="579"/>
      <c r="F52" s="578"/>
      <c r="G52" s="575">
        <f t="shared" si="14"/>
        <v>5000000</v>
      </c>
      <c r="H52" s="576">
        <v>118378</v>
      </c>
      <c r="I52" s="637">
        <v>2245961</v>
      </c>
      <c r="J52" s="637">
        <v>0</v>
      </c>
      <c r="K52" s="301">
        <v>0</v>
      </c>
      <c r="L52" s="634">
        <v>0</v>
      </c>
      <c r="M52" s="301">
        <v>0</v>
      </c>
      <c r="N52" s="655"/>
      <c r="O52" s="6"/>
      <c r="P52" s="6"/>
      <c r="Q52" s="6"/>
      <c r="R52" s="41"/>
      <c r="S52" s="41">
        <v>2635661</v>
      </c>
      <c r="T52" s="577">
        <f t="shared" si="12"/>
        <v>5000000</v>
      </c>
      <c r="U52" s="521">
        <f t="shared" si="5"/>
        <v>0</v>
      </c>
    </row>
    <row r="53" spans="1:23" ht="14.25" x14ac:dyDescent="0.2">
      <c r="A53" s="570" t="s">
        <v>59</v>
      </c>
      <c r="B53" s="586" t="s">
        <v>60</v>
      </c>
      <c r="C53" s="159">
        <v>24000000</v>
      </c>
      <c r="D53" s="572"/>
      <c r="E53" s="573"/>
      <c r="F53" s="578"/>
      <c r="G53" s="575">
        <f t="shared" si="14"/>
        <v>24000000</v>
      </c>
      <c r="H53" s="576">
        <v>0</v>
      </c>
      <c r="I53" s="637">
        <v>0</v>
      </c>
      <c r="J53" s="637">
        <v>0</v>
      </c>
      <c r="K53" s="301">
        <v>0</v>
      </c>
      <c r="L53" s="634">
        <v>0</v>
      </c>
      <c r="M53" s="301">
        <v>0</v>
      </c>
      <c r="N53" s="655">
        <v>12000000</v>
      </c>
      <c r="O53" s="6"/>
      <c r="P53" s="6"/>
      <c r="Q53" s="6"/>
      <c r="R53" s="6"/>
      <c r="S53" s="6">
        <v>12000000</v>
      </c>
      <c r="T53" s="577">
        <f t="shared" si="12"/>
        <v>24000000</v>
      </c>
      <c r="U53" s="521">
        <f t="shared" si="5"/>
        <v>0</v>
      </c>
    </row>
    <row r="54" spans="1:23" ht="14.25" x14ac:dyDescent="0.2">
      <c r="A54" s="570" t="s">
        <v>61</v>
      </c>
      <c r="B54" s="583" t="s">
        <v>62</v>
      </c>
      <c r="C54" s="159">
        <v>4000000</v>
      </c>
      <c r="D54" s="572"/>
      <c r="E54" s="573">
        <v>10000000</v>
      </c>
      <c r="F54" s="578"/>
      <c r="G54" s="575">
        <f t="shared" si="14"/>
        <v>14000000</v>
      </c>
      <c r="H54" s="576">
        <v>0</v>
      </c>
      <c r="I54" s="576">
        <v>1785000</v>
      </c>
      <c r="J54" s="576">
        <v>0</v>
      </c>
      <c r="K54" s="607">
        <v>0</v>
      </c>
      <c r="L54" s="634">
        <v>0</v>
      </c>
      <c r="M54" s="40">
        <v>5355000</v>
      </c>
      <c r="N54" s="650">
        <v>3000000</v>
      </c>
      <c r="O54" s="576"/>
      <c r="P54" s="576">
        <v>2000000</v>
      </c>
      <c r="Q54" s="576"/>
      <c r="R54" s="41">
        <v>1860000</v>
      </c>
      <c r="S54" s="41">
        <v>0</v>
      </c>
      <c r="T54" s="577">
        <f t="shared" si="12"/>
        <v>14000000</v>
      </c>
      <c r="U54" s="521">
        <f t="shared" si="5"/>
        <v>0</v>
      </c>
    </row>
    <row r="55" spans="1:23" ht="14.25" x14ac:dyDescent="0.2">
      <c r="A55" s="570" t="s">
        <v>63</v>
      </c>
      <c r="B55" s="583" t="s">
        <v>64</v>
      </c>
      <c r="C55" s="159">
        <v>22000000</v>
      </c>
      <c r="D55" s="572"/>
      <c r="E55" s="573"/>
      <c r="F55" s="578"/>
      <c r="G55" s="575">
        <f t="shared" si="14"/>
        <v>22000000</v>
      </c>
      <c r="H55" s="576">
        <v>0</v>
      </c>
      <c r="I55" s="576">
        <v>0</v>
      </c>
      <c r="J55" s="576">
        <v>0</v>
      </c>
      <c r="K55" s="607">
        <v>0</v>
      </c>
      <c r="L55" s="634">
        <v>0</v>
      </c>
      <c r="M55" s="40">
        <v>0</v>
      </c>
      <c r="N55" s="650">
        <v>22000000</v>
      </c>
      <c r="O55" s="576"/>
      <c r="P55" s="576"/>
      <c r="Q55" s="576"/>
      <c r="R55" s="41"/>
      <c r="S55" s="41"/>
      <c r="T55" s="577">
        <f t="shared" si="12"/>
        <v>22000000</v>
      </c>
      <c r="U55" s="521">
        <f t="shared" si="5"/>
        <v>0</v>
      </c>
    </row>
    <row r="56" spans="1:23" ht="14.25" x14ac:dyDescent="0.2">
      <c r="A56" s="570">
        <v>2020120213</v>
      </c>
      <c r="B56" s="583" t="s">
        <v>65</v>
      </c>
      <c r="C56" s="159">
        <v>0</v>
      </c>
      <c r="D56" s="572"/>
      <c r="E56" s="573"/>
      <c r="F56" s="578"/>
      <c r="G56" s="575">
        <f t="shared" si="14"/>
        <v>0</v>
      </c>
      <c r="H56" s="576">
        <v>0</v>
      </c>
      <c r="I56" s="576">
        <v>0</v>
      </c>
      <c r="J56" s="576">
        <v>0</v>
      </c>
      <c r="K56" s="607">
        <v>0</v>
      </c>
      <c r="L56" s="634">
        <v>0</v>
      </c>
      <c r="M56" s="40">
        <v>0</v>
      </c>
      <c r="N56" s="650"/>
      <c r="O56" s="576"/>
      <c r="P56" s="576"/>
      <c r="Q56" s="576"/>
      <c r="R56" s="41"/>
      <c r="S56" s="41"/>
      <c r="T56" s="577">
        <f t="shared" si="12"/>
        <v>0</v>
      </c>
      <c r="U56" s="521">
        <f t="shared" si="5"/>
        <v>0</v>
      </c>
    </row>
    <row r="57" spans="1:23" ht="14.25" x14ac:dyDescent="0.2">
      <c r="A57" s="570" t="s">
        <v>66</v>
      </c>
      <c r="B57" s="583" t="s">
        <v>67</v>
      </c>
      <c r="C57" s="159">
        <v>0</v>
      </c>
      <c r="D57" s="572"/>
      <c r="E57" s="573"/>
      <c r="F57" s="578"/>
      <c r="G57" s="575">
        <f t="shared" si="14"/>
        <v>0</v>
      </c>
      <c r="H57" s="576">
        <v>0</v>
      </c>
      <c r="I57" s="576">
        <v>0</v>
      </c>
      <c r="J57" s="576">
        <v>0</v>
      </c>
      <c r="K57" s="607">
        <v>0</v>
      </c>
      <c r="L57" s="634">
        <v>0</v>
      </c>
      <c r="M57" s="40">
        <v>0</v>
      </c>
      <c r="N57" s="650"/>
      <c r="O57" s="576"/>
      <c r="P57" s="576"/>
      <c r="Q57" s="576"/>
      <c r="R57" s="41"/>
      <c r="S57" s="41"/>
      <c r="T57" s="577">
        <f t="shared" si="12"/>
        <v>0</v>
      </c>
      <c r="U57" s="521">
        <f t="shared" si="5"/>
        <v>0</v>
      </c>
    </row>
    <row r="58" spans="1:23" ht="14.25" x14ac:dyDescent="0.2">
      <c r="A58" s="570">
        <v>2020120215</v>
      </c>
      <c r="B58" s="583" t="s">
        <v>97</v>
      </c>
      <c r="C58" s="159">
        <v>1300000</v>
      </c>
      <c r="D58" s="572"/>
      <c r="E58" s="579"/>
      <c r="F58" s="578"/>
      <c r="G58" s="575">
        <f t="shared" si="14"/>
        <v>1300000</v>
      </c>
      <c r="H58" s="581">
        <v>0</v>
      </c>
      <c r="I58" s="581">
        <v>0</v>
      </c>
      <c r="J58" s="581">
        <v>0</v>
      </c>
      <c r="K58" s="44">
        <v>0</v>
      </c>
      <c r="L58" s="634">
        <v>0</v>
      </c>
      <c r="M58" s="44">
        <v>0</v>
      </c>
      <c r="N58" s="652"/>
      <c r="O58" s="41"/>
      <c r="P58" s="41"/>
      <c r="Q58" s="41"/>
      <c r="R58" s="41">
        <v>1300000</v>
      </c>
      <c r="S58" s="41"/>
      <c r="T58" s="577">
        <f t="shared" si="12"/>
        <v>1300000</v>
      </c>
      <c r="U58" s="521">
        <f t="shared" si="5"/>
        <v>0</v>
      </c>
    </row>
    <row r="59" spans="1:23" ht="14.25" x14ac:dyDescent="0.2">
      <c r="A59" s="570">
        <v>2020120216</v>
      </c>
      <c r="B59" s="161" t="s">
        <v>148</v>
      </c>
      <c r="C59" s="156"/>
      <c r="D59" s="572"/>
      <c r="E59" s="579"/>
      <c r="F59" s="578"/>
      <c r="G59" s="575">
        <f t="shared" si="14"/>
        <v>0</v>
      </c>
      <c r="H59" s="581">
        <v>0</v>
      </c>
      <c r="I59" s="581">
        <v>0</v>
      </c>
      <c r="J59" s="581">
        <v>0</v>
      </c>
      <c r="K59" s="44">
        <v>0</v>
      </c>
      <c r="L59" s="634">
        <v>0</v>
      </c>
      <c r="M59" s="44">
        <v>0</v>
      </c>
      <c r="N59" s="652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577">
        <f t="shared" si="12"/>
        <v>0</v>
      </c>
      <c r="U59" s="521">
        <f t="shared" si="5"/>
        <v>0</v>
      </c>
    </row>
    <row r="60" spans="1:23" x14ac:dyDescent="0.2">
      <c r="A60" s="113" t="s">
        <v>68</v>
      </c>
      <c r="B60" s="101" t="s">
        <v>134</v>
      </c>
      <c r="C60" s="101">
        <f>SUM(C61:C64)</f>
        <v>73229741</v>
      </c>
      <c r="D60" s="101">
        <f>SUM(D61:D64)</f>
        <v>0</v>
      </c>
      <c r="E60" s="101">
        <f>SUM(E61:E64)</f>
        <v>0</v>
      </c>
      <c r="F60" s="102">
        <f>SUM(F61:F64)</f>
        <v>0</v>
      </c>
      <c r="G60" s="102">
        <f>ROUND(SUM(G61:G64),0)</f>
        <v>73229741</v>
      </c>
      <c r="H60" s="102">
        <f>ROUND(SUM(H61:H64),0)</f>
        <v>4459798</v>
      </c>
      <c r="I60" s="102">
        <f>ROUND(SUM(I61:I64),0)</f>
        <v>0</v>
      </c>
      <c r="J60" s="102">
        <f>ROUND(SUM(J61:J64),0)</f>
        <v>9708309</v>
      </c>
      <c r="K60" s="102">
        <f t="shared" ref="K60:S60" si="15">ROUND(SUM(K61:K64),0)</f>
        <v>5944853</v>
      </c>
      <c r="L60" s="102">
        <f t="shared" si="15"/>
        <v>0</v>
      </c>
      <c r="M60" s="102">
        <f t="shared" si="15"/>
        <v>9421528</v>
      </c>
      <c r="N60" s="102">
        <f t="shared" si="15"/>
        <v>5401875</v>
      </c>
      <c r="O60" s="102">
        <f t="shared" si="15"/>
        <v>5401875</v>
      </c>
      <c r="P60" s="102">
        <f t="shared" si="15"/>
        <v>5401875</v>
      </c>
      <c r="Q60" s="102">
        <f t="shared" si="15"/>
        <v>5401875</v>
      </c>
      <c r="R60" s="102">
        <f t="shared" si="15"/>
        <v>5401875</v>
      </c>
      <c r="S60" s="102">
        <f t="shared" si="15"/>
        <v>16685878</v>
      </c>
      <c r="T60" s="102">
        <f>SUM(T61:T64)</f>
        <v>73229741</v>
      </c>
      <c r="U60" s="521">
        <f t="shared" si="5"/>
        <v>0</v>
      </c>
    </row>
    <row r="61" spans="1:23" ht="14.25" x14ac:dyDescent="0.2">
      <c r="A61" s="570" t="s">
        <v>70</v>
      </c>
      <c r="B61" s="583" t="s">
        <v>71</v>
      </c>
      <c r="C61" s="159">
        <v>6000083</v>
      </c>
      <c r="D61" s="572"/>
      <c r="E61" s="573"/>
      <c r="F61" s="578"/>
      <c r="G61" s="575">
        <f t="shared" si="14"/>
        <v>6000083</v>
      </c>
      <c r="H61" s="576">
        <v>0</v>
      </c>
      <c r="I61" s="638">
        <v>0</v>
      </c>
      <c r="J61" s="638">
        <v>0</v>
      </c>
      <c r="K61" s="288">
        <v>959897</v>
      </c>
      <c r="L61" s="40">
        <v>0</v>
      </c>
      <c r="M61" s="304">
        <v>0</v>
      </c>
      <c r="N61" s="656"/>
      <c r="O61" s="41"/>
      <c r="P61" s="41"/>
      <c r="Q61" s="41"/>
      <c r="R61" s="41"/>
      <c r="S61" s="41">
        <v>5040186</v>
      </c>
      <c r="T61" s="577">
        <f t="shared" si="12"/>
        <v>6000083</v>
      </c>
      <c r="U61" s="521">
        <f t="shared" si="5"/>
        <v>0</v>
      </c>
    </row>
    <row r="62" spans="1:23" ht="14.25" x14ac:dyDescent="0.2">
      <c r="A62" s="570" t="s">
        <v>72</v>
      </c>
      <c r="B62" s="583" t="s">
        <v>73</v>
      </c>
      <c r="C62" s="159">
        <v>46429658</v>
      </c>
      <c r="D62" s="572"/>
      <c r="E62" s="573"/>
      <c r="F62" s="578"/>
      <c r="G62" s="575">
        <f t="shared" si="14"/>
        <v>46429658</v>
      </c>
      <c r="H62" s="635">
        <v>3739179</v>
      </c>
      <c r="I62" s="576">
        <v>0</v>
      </c>
      <c r="J62" s="576">
        <v>8334063</v>
      </c>
      <c r="K62" s="607">
        <v>4079082</v>
      </c>
      <c r="L62" s="40">
        <v>0</v>
      </c>
      <c r="M62" s="40">
        <v>8028260</v>
      </c>
      <c r="N62" s="650">
        <v>4079082</v>
      </c>
      <c r="O62" s="576">
        <v>4079082</v>
      </c>
      <c r="P62" s="576">
        <v>4079082</v>
      </c>
      <c r="Q62" s="576">
        <v>4079082</v>
      </c>
      <c r="R62" s="576">
        <v>4079082</v>
      </c>
      <c r="S62" s="576">
        <f>1723760+129904</f>
        <v>1853664</v>
      </c>
      <c r="T62" s="577">
        <f t="shared" si="12"/>
        <v>46429658</v>
      </c>
      <c r="U62" s="521">
        <f t="shared" si="5"/>
        <v>0</v>
      </c>
      <c r="V62" s="521"/>
    </row>
    <row r="63" spans="1:23" ht="14.25" x14ac:dyDescent="0.2">
      <c r="A63" s="570">
        <v>2020110304</v>
      </c>
      <c r="B63" s="583" t="s">
        <v>74</v>
      </c>
      <c r="C63" s="159">
        <v>14000000</v>
      </c>
      <c r="D63" s="572"/>
      <c r="E63" s="573"/>
      <c r="F63" s="578"/>
      <c r="G63" s="575">
        <f t="shared" si="14"/>
        <v>14000000</v>
      </c>
      <c r="H63" s="635">
        <v>720619</v>
      </c>
      <c r="I63" s="576">
        <v>0</v>
      </c>
      <c r="J63" s="576">
        <v>1374246</v>
      </c>
      <c r="K63" s="607">
        <v>790686</v>
      </c>
      <c r="L63" s="40">
        <v>0</v>
      </c>
      <c r="M63" s="40">
        <v>1393268</v>
      </c>
      <c r="N63" s="650">
        <v>1322793</v>
      </c>
      <c r="O63" s="576">
        <v>1322793</v>
      </c>
      <c r="P63" s="576">
        <v>1322793</v>
      </c>
      <c r="Q63" s="576">
        <v>1322793</v>
      </c>
      <c r="R63" s="576">
        <v>1322793</v>
      </c>
      <c r="S63" s="576">
        <f>1854898+1252318</f>
        <v>3107216</v>
      </c>
      <c r="T63" s="577">
        <f t="shared" si="12"/>
        <v>14000000</v>
      </c>
      <c r="U63" s="521">
        <f t="shared" si="5"/>
        <v>0</v>
      </c>
      <c r="W63" s="521"/>
    </row>
    <row r="64" spans="1:23" ht="14.25" x14ac:dyDescent="0.2">
      <c r="A64" s="570">
        <v>2020110305</v>
      </c>
      <c r="B64" s="583" t="s">
        <v>75</v>
      </c>
      <c r="C64" s="159">
        <v>6800000</v>
      </c>
      <c r="D64" s="572"/>
      <c r="E64" s="573"/>
      <c r="F64" s="578"/>
      <c r="G64" s="575">
        <f t="shared" si="14"/>
        <v>6800000</v>
      </c>
      <c r="H64" s="576">
        <v>0</v>
      </c>
      <c r="I64" s="635">
        <v>0</v>
      </c>
      <c r="J64" s="635">
        <v>0</v>
      </c>
      <c r="K64" s="288">
        <v>115188</v>
      </c>
      <c r="L64" s="40">
        <v>0</v>
      </c>
      <c r="M64" s="288">
        <v>0</v>
      </c>
      <c r="N64" s="651">
        <v>0</v>
      </c>
      <c r="O64" s="4">
        <v>0</v>
      </c>
      <c r="P64" s="4">
        <v>0</v>
      </c>
      <c r="Q64" s="4">
        <v>0</v>
      </c>
      <c r="R64" s="4">
        <v>0</v>
      </c>
      <c r="S64" s="41">
        <v>6684812</v>
      </c>
      <c r="T64" s="577">
        <f t="shared" si="12"/>
        <v>6800000</v>
      </c>
      <c r="U64" s="521">
        <f t="shared" si="5"/>
        <v>0</v>
      </c>
    </row>
    <row r="65" spans="1:23" x14ac:dyDescent="0.2">
      <c r="A65" s="113">
        <v>20201104</v>
      </c>
      <c r="B65" s="101" t="s">
        <v>135</v>
      </c>
      <c r="C65" s="101">
        <f t="shared" ref="C65:J65" si="16">SUM(C66:C76)</f>
        <v>133100000</v>
      </c>
      <c r="D65" s="101">
        <f t="shared" si="16"/>
        <v>30000000</v>
      </c>
      <c r="E65" s="101">
        <f t="shared" si="16"/>
        <v>3000000</v>
      </c>
      <c r="F65" s="101">
        <f t="shared" si="16"/>
        <v>0</v>
      </c>
      <c r="G65" s="103">
        <f t="shared" si="16"/>
        <v>166100000</v>
      </c>
      <c r="H65" s="103">
        <f t="shared" si="16"/>
        <v>9065581</v>
      </c>
      <c r="I65" s="103">
        <f t="shared" si="16"/>
        <v>12343990</v>
      </c>
      <c r="J65" s="103">
        <f t="shared" si="16"/>
        <v>19381621</v>
      </c>
      <c r="K65" s="103">
        <f t="shared" ref="K65:S65" si="17">SUM(K66:K76)</f>
        <v>9529237</v>
      </c>
      <c r="L65" s="103">
        <f t="shared" si="17"/>
        <v>0</v>
      </c>
      <c r="M65" s="103">
        <f t="shared" si="17"/>
        <v>19493425</v>
      </c>
      <c r="N65" s="103">
        <f t="shared" si="17"/>
        <v>11140662</v>
      </c>
      <c r="O65" s="103">
        <f t="shared" si="17"/>
        <v>11140662</v>
      </c>
      <c r="P65" s="103">
        <f t="shared" si="17"/>
        <v>11140662</v>
      </c>
      <c r="Q65" s="103">
        <f t="shared" si="17"/>
        <v>11140662</v>
      </c>
      <c r="R65" s="103">
        <f t="shared" si="17"/>
        <v>8527489</v>
      </c>
      <c r="S65" s="103">
        <f t="shared" si="17"/>
        <v>40539999</v>
      </c>
      <c r="T65" s="103">
        <f>SUM(T66:T76)</f>
        <v>166100000</v>
      </c>
      <c r="U65" s="521">
        <f t="shared" si="5"/>
        <v>0</v>
      </c>
    </row>
    <row r="66" spans="1:23" ht="14.25" x14ac:dyDescent="0.2">
      <c r="A66" s="587" t="s">
        <v>77</v>
      </c>
      <c r="B66" s="583" t="s">
        <v>78</v>
      </c>
      <c r="C66" s="159">
        <v>12000000</v>
      </c>
      <c r="D66" s="572"/>
      <c r="E66" s="573">
        <v>3000000</v>
      </c>
      <c r="F66" s="578"/>
      <c r="G66" s="575">
        <f>ROUND((C66+D66+E66-F66),0)</f>
        <v>15000000</v>
      </c>
      <c r="H66" s="636">
        <v>0</v>
      </c>
      <c r="I66" s="636">
        <v>12343990</v>
      </c>
      <c r="J66" s="636">
        <v>0</v>
      </c>
      <c r="K66" s="289">
        <v>0</v>
      </c>
      <c r="L66" s="40">
        <v>0</v>
      </c>
      <c r="M66" s="40">
        <v>0</v>
      </c>
      <c r="N66" s="654"/>
      <c r="O66" s="2">
        <v>0</v>
      </c>
      <c r="P66" s="2">
        <v>0</v>
      </c>
      <c r="Q66" s="2">
        <v>0</v>
      </c>
      <c r="R66" s="2">
        <v>0</v>
      </c>
      <c r="S66" s="41"/>
      <c r="T66" s="577">
        <f>ROUND(SUM(H66:S66),0)+2656010</f>
        <v>15000000</v>
      </c>
      <c r="U66" s="521">
        <f t="shared" si="5"/>
        <v>0</v>
      </c>
    </row>
    <row r="67" spans="1:23" ht="14.25" x14ac:dyDescent="0.2">
      <c r="A67" s="587">
        <v>2020110401</v>
      </c>
      <c r="B67" s="583" t="s">
        <v>295</v>
      </c>
      <c r="C67" s="159">
        <v>0</v>
      </c>
      <c r="D67" s="572">
        <v>30000000</v>
      </c>
      <c r="E67" s="573"/>
      <c r="F67" s="578"/>
      <c r="G67" s="575">
        <f>ROUND((C67+D67+E67-F67),0)</f>
        <v>30000000</v>
      </c>
      <c r="H67" s="636">
        <v>0</v>
      </c>
      <c r="I67" s="636">
        <v>0</v>
      </c>
      <c r="J67" s="636">
        <v>0</v>
      </c>
      <c r="K67" s="289">
        <v>0</v>
      </c>
      <c r="L67" s="40">
        <v>0</v>
      </c>
      <c r="M67" s="40">
        <v>0</v>
      </c>
      <c r="N67" s="654"/>
      <c r="O67" s="2"/>
      <c r="P67" s="2"/>
      <c r="Q67" s="2"/>
      <c r="R67" s="2"/>
      <c r="S67" s="41">
        <v>30000000</v>
      </c>
      <c r="T67" s="577">
        <f t="shared" ref="T67:T76" si="18">ROUND(SUM(H67:S67),0)</f>
        <v>30000000</v>
      </c>
      <c r="U67" s="521"/>
    </row>
    <row r="68" spans="1:23" ht="14.25" x14ac:dyDescent="0.2">
      <c r="A68" s="570" t="s">
        <v>79</v>
      </c>
      <c r="B68" s="583" t="s">
        <v>73</v>
      </c>
      <c r="C68" s="159">
        <v>0</v>
      </c>
      <c r="D68" s="572"/>
      <c r="E68" s="573"/>
      <c r="F68" s="578"/>
      <c r="G68" s="575">
        <f t="shared" ref="G68:G76" si="19">ROUND((C68+D68+E68-F68),0)</f>
        <v>0</v>
      </c>
      <c r="H68" s="576">
        <v>0</v>
      </c>
      <c r="I68" s="636">
        <v>0</v>
      </c>
      <c r="J68" s="576">
        <v>0</v>
      </c>
      <c r="K68" s="607">
        <v>0</v>
      </c>
      <c r="L68" s="40">
        <v>0</v>
      </c>
      <c r="M68" s="40">
        <v>0</v>
      </c>
      <c r="N68" s="650"/>
      <c r="O68" s="576"/>
      <c r="P68" s="576"/>
      <c r="Q68" s="576"/>
      <c r="R68" s="41"/>
      <c r="S68" s="41"/>
      <c r="T68" s="577">
        <f t="shared" si="18"/>
        <v>0</v>
      </c>
      <c r="U68" s="521">
        <f t="shared" si="5"/>
        <v>0</v>
      </c>
      <c r="W68" s="521"/>
    </row>
    <row r="69" spans="1:23" ht="14.25" x14ac:dyDescent="0.2">
      <c r="A69" s="570" t="s">
        <v>80</v>
      </c>
      <c r="B69" s="583" t="s">
        <v>81</v>
      </c>
      <c r="C69" s="159">
        <v>3900000</v>
      </c>
      <c r="D69" s="572"/>
      <c r="E69" s="573"/>
      <c r="F69" s="578"/>
      <c r="G69" s="575">
        <f t="shared" si="19"/>
        <v>3900000</v>
      </c>
      <c r="H69" s="576">
        <v>211900</v>
      </c>
      <c r="I69" s="636">
        <v>0</v>
      </c>
      <c r="J69" s="576">
        <v>475800</v>
      </c>
      <c r="K69" s="607">
        <v>250500</v>
      </c>
      <c r="L69" s="40">
        <v>0</v>
      </c>
      <c r="M69" s="40">
        <v>495100</v>
      </c>
      <c r="N69" s="650">
        <v>357000</v>
      </c>
      <c r="O69" s="576">
        <v>357000</v>
      </c>
      <c r="P69" s="576">
        <v>357000</v>
      </c>
      <c r="Q69" s="576">
        <v>357000</v>
      </c>
      <c r="R69" s="576">
        <v>357000</v>
      </c>
      <c r="S69" s="576">
        <f>462800+218900</f>
        <v>681700</v>
      </c>
      <c r="T69" s="577">
        <f t="shared" si="18"/>
        <v>3900000</v>
      </c>
      <c r="U69" s="521">
        <f t="shared" si="5"/>
        <v>0</v>
      </c>
    </row>
    <row r="70" spans="1:23" ht="14.25" x14ac:dyDescent="0.2">
      <c r="A70" s="570" t="s">
        <v>82</v>
      </c>
      <c r="B70" s="583" t="s">
        <v>74</v>
      </c>
      <c r="C70" s="159">
        <v>52000000</v>
      </c>
      <c r="D70" s="572"/>
      <c r="E70" s="573"/>
      <c r="F70" s="578"/>
      <c r="G70" s="575">
        <f t="shared" si="19"/>
        <v>52000000</v>
      </c>
      <c r="H70" s="576">
        <v>4521481</v>
      </c>
      <c r="I70" s="636">
        <v>0</v>
      </c>
      <c r="J70" s="576">
        <v>10403621</v>
      </c>
      <c r="K70" s="607">
        <v>4965237</v>
      </c>
      <c r="L70" s="40">
        <v>0</v>
      </c>
      <c r="M70" s="40">
        <v>9896625</v>
      </c>
      <c r="N70" s="650">
        <v>4965237</v>
      </c>
      <c r="O70" s="576">
        <v>4965237</v>
      </c>
      <c r="P70" s="576">
        <v>4965237</v>
      </c>
      <c r="Q70" s="576">
        <v>4965237</v>
      </c>
      <c r="R70" s="576">
        <f>2318239+33849</f>
        <v>2352088</v>
      </c>
      <c r="S70" s="576">
        <v>0</v>
      </c>
      <c r="T70" s="577">
        <f t="shared" si="18"/>
        <v>52000000</v>
      </c>
      <c r="U70" s="521">
        <f t="shared" si="5"/>
        <v>0</v>
      </c>
    </row>
    <row r="71" spans="1:23" ht="14.25" x14ac:dyDescent="0.2">
      <c r="A71" s="570" t="s">
        <v>83</v>
      </c>
      <c r="B71" s="583" t="s">
        <v>84</v>
      </c>
      <c r="C71" s="159">
        <v>27000000</v>
      </c>
      <c r="D71" s="572"/>
      <c r="E71" s="573"/>
      <c r="F71" s="578"/>
      <c r="G71" s="575">
        <f t="shared" si="19"/>
        <v>27000000</v>
      </c>
      <c r="H71" s="576">
        <v>1924900</v>
      </c>
      <c r="I71" s="636">
        <v>0</v>
      </c>
      <c r="J71" s="576">
        <v>3777700</v>
      </c>
      <c r="K71" s="607">
        <v>1916500</v>
      </c>
      <c r="L71" s="634">
        <v>0</v>
      </c>
      <c r="M71" s="634">
        <v>4044300</v>
      </c>
      <c r="N71" s="650">
        <v>2366378</v>
      </c>
      <c r="O71" s="576">
        <v>2366378</v>
      </c>
      <c r="P71" s="576">
        <v>2366378</v>
      </c>
      <c r="Q71" s="576">
        <v>2366378</v>
      </c>
      <c r="R71" s="576">
        <v>2366378</v>
      </c>
      <c r="S71" s="576">
        <f>2816254+688456</f>
        <v>3504710</v>
      </c>
      <c r="T71" s="577">
        <f t="shared" si="18"/>
        <v>27000000</v>
      </c>
      <c r="U71" s="521">
        <f t="shared" si="5"/>
        <v>0</v>
      </c>
    </row>
    <row r="72" spans="1:23" ht="14.25" x14ac:dyDescent="0.2">
      <c r="A72" s="570" t="s">
        <v>85</v>
      </c>
      <c r="B72" s="583" t="s">
        <v>86</v>
      </c>
      <c r="C72" s="159">
        <v>23000000</v>
      </c>
      <c r="D72" s="572"/>
      <c r="E72" s="573"/>
      <c r="F72" s="578"/>
      <c r="G72" s="575">
        <f t="shared" si="19"/>
        <v>23000000</v>
      </c>
      <c r="H72" s="576">
        <v>1443700</v>
      </c>
      <c r="I72" s="636">
        <v>0</v>
      </c>
      <c r="J72" s="576">
        <v>2833100</v>
      </c>
      <c r="K72" s="607">
        <v>1437400</v>
      </c>
      <c r="L72" s="40">
        <v>0</v>
      </c>
      <c r="M72" s="40">
        <v>3033100</v>
      </c>
      <c r="N72" s="650">
        <v>2080352</v>
      </c>
      <c r="O72" s="576">
        <v>2080352</v>
      </c>
      <c r="P72" s="576">
        <v>2080352</v>
      </c>
      <c r="Q72" s="576">
        <v>2080352</v>
      </c>
      <c r="R72" s="576">
        <v>2080352</v>
      </c>
      <c r="S72" s="576">
        <f>2723336+1127604</f>
        <v>3850940</v>
      </c>
      <c r="T72" s="577">
        <f t="shared" si="18"/>
        <v>23000000</v>
      </c>
      <c r="U72" s="521">
        <f t="shared" si="5"/>
        <v>0</v>
      </c>
      <c r="W72" s="521"/>
    </row>
    <row r="73" spans="1:23" ht="14.25" x14ac:dyDescent="0.2">
      <c r="A73" s="570" t="s">
        <v>87</v>
      </c>
      <c r="B73" s="583" t="s">
        <v>88</v>
      </c>
      <c r="C73" s="159">
        <v>4000000</v>
      </c>
      <c r="D73" s="572"/>
      <c r="E73" s="573"/>
      <c r="F73" s="578"/>
      <c r="G73" s="575">
        <f t="shared" si="19"/>
        <v>4000000</v>
      </c>
      <c r="H73" s="576">
        <v>241000</v>
      </c>
      <c r="I73" s="636">
        <v>0</v>
      </c>
      <c r="J73" s="576">
        <v>473100</v>
      </c>
      <c r="K73" s="607">
        <v>240000</v>
      </c>
      <c r="L73" s="40">
        <v>0</v>
      </c>
      <c r="M73" s="40">
        <v>506200</v>
      </c>
      <c r="N73" s="650">
        <v>365114</v>
      </c>
      <c r="O73" s="576">
        <v>365114</v>
      </c>
      <c r="P73" s="576">
        <v>365114</v>
      </c>
      <c r="Q73" s="576">
        <v>365114</v>
      </c>
      <c r="R73" s="576">
        <v>365102</v>
      </c>
      <c r="S73" s="576">
        <f>490114+224028</f>
        <v>714142</v>
      </c>
      <c r="T73" s="577">
        <f t="shared" si="18"/>
        <v>4000000</v>
      </c>
      <c r="U73" s="521">
        <f t="shared" si="5"/>
        <v>0</v>
      </c>
      <c r="V73" s="521"/>
      <c r="W73" s="521"/>
    </row>
    <row r="74" spans="1:23" ht="14.25" x14ac:dyDescent="0.2">
      <c r="A74" s="570" t="s">
        <v>89</v>
      </c>
      <c r="B74" s="583" t="s">
        <v>90</v>
      </c>
      <c r="C74" s="159">
        <v>4000000</v>
      </c>
      <c r="D74" s="572"/>
      <c r="E74" s="573"/>
      <c r="F74" s="578"/>
      <c r="G74" s="575">
        <f t="shared" si="19"/>
        <v>4000000</v>
      </c>
      <c r="H74" s="576">
        <v>241000</v>
      </c>
      <c r="I74" s="636">
        <v>0</v>
      </c>
      <c r="J74" s="576">
        <v>473100</v>
      </c>
      <c r="K74" s="607">
        <v>240000</v>
      </c>
      <c r="L74" s="40">
        <v>0</v>
      </c>
      <c r="M74" s="40">
        <v>506200</v>
      </c>
      <c r="N74" s="650">
        <v>365114</v>
      </c>
      <c r="O74" s="576">
        <v>365114</v>
      </c>
      <c r="P74" s="576">
        <v>365114</v>
      </c>
      <c r="Q74" s="576">
        <v>365114</v>
      </c>
      <c r="R74" s="576">
        <v>365102</v>
      </c>
      <c r="S74" s="576">
        <f>490114+224028</f>
        <v>714142</v>
      </c>
      <c r="T74" s="577">
        <f t="shared" si="18"/>
        <v>4000000</v>
      </c>
      <c r="U74" s="521">
        <f t="shared" si="5"/>
        <v>0</v>
      </c>
      <c r="V74" s="521"/>
      <c r="W74" s="521"/>
    </row>
    <row r="75" spans="1:23" ht="14.25" x14ac:dyDescent="0.2">
      <c r="A75" s="570" t="s">
        <v>91</v>
      </c>
      <c r="B75" s="583" t="s">
        <v>92</v>
      </c>
      <c r="C75" s="159">
        <v>7200000</v>
      </c>
      <c r="D75" s="572"/>
      <c r="E75" s="573"/>
      <c r="F75" s="578"/>
      <c r="G75" s="575">
        <f t="shared" si="19"/>
        <v>7200000</v>
      </c>
      <c r="H75" s="576">
        <v>481600</v>
      </c>
      <c r="I75" s="636">
        <v>0</v>
      </c>
      <c r="J75" s="576">
        <v>945200</v>
      </c>
      <c r="K75" s="607">
        <v>479600</v>
      </c>
      <c r="L75" s="40">
        <v>0</v>
      </c>
      <c r="M75" s="40">
        <v>1011900</v>
      </c>
      <c r="N75" s="650">
        <v>641467</v>
      </c>
      <c r="O75" s="576">
        <v>641467</v>
      </c>
      <c r="P75" s="576">
        <v>641467</v>
      </c>
      <c r="Q75" s="576">
        <v>641467</v>
      </c>
      <c r="R75" s="576">
        <v>641467</v>
      </c>
      <c r="S75" s="576">
        <f>803331+271034</f>
        <v>1074365</v>
      </c>
      <c r="T75" s="577">
        <f t="shared" si="18"/>
        <v>7200000</v>
      </c>
      <c r="U75" s="521">
        <f t="shared" si="5"/>
        <v>0</v>
      </c>
      <c r="V75" s="521"/>
      <c r="W75" s="521"/>
    </row>
    <row r="76" spans="1:23" ht="14.25" x14ac:dyDescent="0.2">
      <c r="A76" s="570" t="s">
        <v>93</v>
      </c>
      <c r="B76" s="583" t="s">
        <v>94</v>
      </c>
      <c r="C76" s="159">
        <v>0</v>
      </c>
      <c r="D76" s="572">
        <v>0</v>
      </c>
      <c r="E76" s="573">
        <v>0</v>
      </c>
      <c r="F76" s="578">
        <v>0</v>
      </c>
      <c r="G76" s="575">
        <f t="shared" si="19"/>
        <v>0</v>
      </c>
      <c r="H76" s="576">
        <v>0</v>
      </c>
      <c r="I76" s="636">
        <v>0</v>
      </c>
      <c r="J76" s="576">
        <v>0</v>
      </c>
      <c r="K76" s="607">
        <v>0</v>
      </c>
      <c r="L76" s="40">
        <v>0</v>
      </c>
      <c r="M76" s="40">
        <v>0</v>
      </c>
      <c r="N76" s="650"/>
      <c r="O76" s="576">
        <v>0</v>
      </c>
      <c r="P76" s="576">
        <v>0</v>
      </c>
      <c r="Q76" s="41">
        <f>ROUND($G$76/12,-1)</f>
        <v>0</v>
      </c>
      <c r="R76" s="41">
        <f>ROUND($G$76/12,-1)</f>
        <v>0</v>
      </c>
      <c r="S76" s="41">
        <f>G76-SUM(H76:R76)</f>
        <v>0</v>
      </c>
      <c r="T76" s="577">
        <f t="shared" si="18"/>
        <v>0</v>
      </c>
      <c r="U76" s="521">
        <f t="shared" si="5"/>
        <v>0</v>
      </c>
      <c r="W76" s="521"/>
    </row>
    <row r="77" spans="1:23" x14ac:dyDescent="0.2">
      <c r="A77" s="113">
        <v>20201301</v>
      </c>
      <c r="B77" s="101" t="s">
        <v>95</v>
      </c>
      <c r="C77" s="102">
        <f t="shared" ref="C77:T77" si="20">C78</f>
        <v>0</v>
      </c>
      <c r="D77" s="103">
        <f t="shared" si="20"/>
        <v>0</v>
      </c>
      <c r="E77" s="103">
        <f t="shared" si="20"/>
        <v>0</v>
      </c>
      <c r="F77" s="103">
        <f t="shared" si="20"/>
        <v>0</v>
      </c>
      <c r="G77" s="103">
        <f t="shared" si="20"/>
        <v>0</v>
      </c>
      <c r="H77" s="101">
        <f t="shared" si="20"/>
        <v>0</v>
      </c>
      <c r="I77" s="101">
        <f t="shared" si="20"/>
        <v>0</v>
      </c>
      <c r="J77" s="101">
        <f t="shared" si="20"/>
        <v>0</v>
      </c>
      <c r="K77" s="101">
        <f t="shared" si="20"/>
        <v>0</v>
      </c>
      <c r="L77" s="101">
        <f t="shared" si="20"/>
        <v>0</v>
      </c>
      <c r="M77" s="101">
        <f t="shared" si="20"/>
        <v>0</v>
      </c>
      <c r="N77" s="101">
        <f t="shared" si="20"/>
        <v>0</v>
      </c>
      <c r="O77" s="101">
        <f t="shared" si="20"/>
        <v>0</v>
      </c>
      <c r="P77" s="101">
        <f t="shared" si="20"/>
        <v>0</v>
      </c>
      <c r="Q77" s="101">
        <f t="shared" si="20"/>
        <v>0</v>
      </c>
      <c r="R77" s="101">
        <f t="shared" si="20"/>
        <v>0</v>
      </c>
      <c r="S77" s="101">
        <f t="shared" si="20"/>
        <v>0</v>
      </c>
      <c r="T77" s="101">
        <f t="shared" si="20"/>
        <v>0</v>
      </c>
      <c r="U77" s="521">
        <f t="shared" si="5"/>
        <v>0</v>
      </c>
    </row>
    <row r="78" spans="1:23" ht="15" thickBot="1" x14ac:dyDescent="0.25">
      <c r="A78" s="588">
        <v>2020130101</v>
      </c>
      <c r="B78" s="589" t="s">
        <v>142</v>
      </c>
      <c r="C78" s="166">
        <v>0</v>
      </c>
      <c r="D78" s="147"/>
      <c r="E78" s="148"/>
      <c r="F78" s="149"/>
      <c r="G78" s="106">
        <f t="shared" si="14"/>
        <v>0</v>
      </c>
      <c r="H78" s="639">
        <v>0</v>
      </c>
      <c r="I78" s="639">
        <v>0</v>
      </c>
      <c r="J78" s="639">
        <v>0</v>
      </c>
      <c r="K78" s="311">
        <v>0</v>
      </c>
      <c r="L78" s="311">
        <v>0</v>
      </c>
      <c r="M78" s="311">
        <v>0</v>
      </c>
      <c r="N78" s="657"/>
      <c r="O78" s="107">
        <v>0</v>
      </c>
      <c r="P78" s="107"/>
      <c r="Q78" s="107"/>
      <c r="R78" s="107"/>
      <c r="S78" s="107"/>
      <c r="T78" s="577">
        <f>ROUND(SUM(H78:S78),0)</f>
        <v>0</v>
      </c>
      <c r="U78" s="521">
        <f t="shared" si="5"/>
        <v>0</v>
      </c>
    </row>
    <row r="79" spans="1:23" x14ac:dyDescent="0.2">
      <c r="A79" s="101"/>
      <c r="B79" s="101" t="s">
        <v>136</v>
      </c>
      <c r="C79" s="103">
        <f>C65+C60+C43+C38+C33+C23+C77</f>
        <v>1168442348</v>
      </c>
      <c r="D79" s="103">
        <f>D65+D60+D43+D38+D33+D23+D77</f>
        <v>185847307</v>
      </c>
      <c r="E79" s="103">
        <f>E65+E60+E43+E38+E33+E23+E77</f>
        <v>66300000</v>
      </c>
      <c r="F79" s="103">
        <f>F65+F60+F43+F38+F33+F23+F77</f>
        <v>66300000</v>
      </c>
      <c r="G79" s="103">
        <f>G65+G60+G43+G38+G33+G23+G77</f>
        <v>1354289655</v>
      </c>
      <c r="H79" s="103">
        <f t="shared" ref="H79:O79" si="21">H65+H60+H43+H38+H33+H23</f>
        <v>75436519.866666675</v>
      </c>
      <c r="I79" s="103">
        <f t="shared" si="21"/>
        <v>59798337</v>
      </c>
      <c r="J79" s="103">
        <f t="shared" si="21"/>
        <v>154379075</v>
      </c>
      <c r="K79" s="103">
        <f t="shared" si="21"/>
        <v>85091534</v>
      </c>
      <c r="L79" s="103">
        <f t="shared" si="21"/>
        <v>76136929</v>
      </c>
      <c r="M79" s="103">
        <f t="shared" si="21"/>
        <v>106497825</v>
      </c>
      <c r="N79" s="103">
        <f t="shared" si="21"/>
        <v>158180044</v>
      </c>
      <c r="O79" s="103">
        <f t="shared" si="21"/>
        <v>86550991</v>
      </c>
      <c r="P79" s="103">
        <f>P65+P60+P43+P38+P33+P23+P77</f>
        <v>73787173</v>
      </c>
      <c r="Q79" s="103">
        <f>Q65+Q60+Q43+Q38+Q33+Q23</f>
        <v>71810366</v>
      </c>
      <c r="R79" s="103">
        <f>R65+R60+R43+R38+R33+R23</f>
        <v>69109393</v>
      </c>
      <c r="S79" s="103">
        <f>S23+S33+S38+S43+S60+S65+S77</f>
        <v>334855458</v>
      </c>
      <c r="T79" s="103">
        <f>T77+T65+T60+T43+T38+T33+T23</f>
        <v>1354289654.8666668</v>
      </c>
      <c r="U79" s="521">
        <f t="shared" si="5"/>
        <v>0.13333320617675781</v>
      </c>
    </row>
    <row r="80" spans="1:23" x14ac:dyDescent="0.2">
      <c r="B80" s="520"/>
      <c r="C80" s="521"/>
      <c r="D80" s="522"/>
      <c r="E80" s="521"/>
      <c r="F80" s="521"/>
      <c r="G80" s="521"/>
      <c r="H80" s="640"/>
      <c r="I80" s="640"/>
      <c r="J80" s="640"/>
      <c r="K80" s="521"/>
      <c r="L80" s="521"/>
      <c r="M80" s="521"/>
      <c r="N80" s="521"/>
      <c r="O80" s="521"/>
      <c r="P80" s="521"/>
      <c r="Q80" s="521"/>
      <c r="R80" s="521"/>
      <c r="S80" s="521"/>
      <c r="T80" s="523"/>
    </row>
    <row r="81" spans="2:20" x14ac:dyDescent="0.2">
      <c r="B81" s="520"/>
      <c r="C81" s="521"/>
      <c r="D81" s="520"/>
      <c r="T81" s="523"/>
    </row>
    <row r="82" spans="2:20" x14ac:dyDescent="0.2">
      <c r="B82" s="520"/>
      <c r="D82" s="520"/>
      <c r="G82" s="590" t="s">
        <v>291</v>
      </c>
      <c r="P82" s="590" t="s">
        <v>170</v>
      </c>
      <c r="T82" s="591"/>
    </row>
    <row r="83" spans="2:20" x14ac:dyDescent="0.2">
      <c r="B83" s="520"/>
      <c r="C83" s="592"/>
      <c r="D83" s="520"/>
      <c r="G83" s="508" t="s">
        <v>141</v>
      </c>
      <c r="P83" s="508" t="s">
        <v>138</v>
      </c>
      <c r="Q83" s="590"/>
      <c r="T83" s="591"/>
    </row>
    <row r="84" spans="2:20" ht="13.5" thickBot="1" x14ac:dyDescent="0.25">
      <c r="B84" s="541"/>
      <c r="C84" s="593"/>
      <c r="D84" s="541" t="s">
        <v>178</v>
      </c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4"/>
      <c r="Q84" s="593"/>
      <c r="R84" s="593"/>
      <c r="S84" s="593"/>
      <c r="T84" s="595"/>
    </row>
    <row r="88" spans="2:20" x14ac:dyDescent="0.2">
      <c r="G88" s="521"/>
    </row>
    <row r="90" spans="2:20" x14ac:dyDescent="0.2">
      <c r="G90" s="521"/>
    </row>
    <row r="93" spans="2:20" x14ac:dyDescent="0.2">
      <c r="G93" s="521"/>
    </row>
  </sheetData>
  <mergeCells count="3">
    <mergeCell ref="B2:T2"/>
    <mergeCell ref="B3:T3"/>
    <mergeCell ref="B4:T4"/>
  </mergeCells>
  <phoneticPr fontId="30" type="noConversion"/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80"/>
  <sheetViews>
    <sheetView zoomScale="80" zoomScaleNormal="80" zoomScaleSheetLayoutView="30" workbookViewId="0">
      <pane ySplit="1" topLeftCell="A44" activePane="bottomLeft" state="frozen"/>
      <selection activeCell="J59" sqref="J59"/>
      <selection pane="bottomLeft" activeCell="J739" sqref="J739"/>
    </sheetView>
  </sheetViews>
  <sheetFormatPr baseColWidth="10" defaultRowHeight="15" x14ac:dyDescent="0.2"/>
  <cols>
    <col min="1" max="1" width="4.125" style="13" customWidth="1"/>
    <col min="2" max="2" width="11" style="486"/>
    <col min="3" max="3" width="12.75" style="424" customWidth="1"/>
    <col min="4" max="4" width="53.25" style="125" customWidth="1"/>
    <col min="5" max="5" width="19" style="125" customWidth="1"/>
    <col min="6" max="8" width="16.375" style="125" customWidth="1"/>
    <col min="9" max="9" width="18.375" style="125" bestFit="1" customWidth="1"/>
    <col min="10" max="10" width="21.875" style="398" customWidth="1"/>
    <col min="11" max="11" width="18.375" style="125" bestFit="1" customWidth="1"/>
    <col min="12" max="12" width="13.375" style="125" bestFit="1" customWidth="1"/>
    <col min="13" max="13" width="11" style="13"/>
    <col min="14" max="14" width="14.5" style="13" bestFit="1" customWidth="1"/>
    <col min="15" max="15" width="13.625" style="13" bestFit="1" customWidth="1"/>
    <col min="16" max="16" width="17" style="13" bestFit="1" customWidth="1"/>
    <col min="17" max="18" width="12.125" style="13" bestFit="1" customWidth="1"/>
    <col min="19" max="243" width="11" style="13"/>
    <col min="244" max="244" width="51" style="13" customWidth="1"/>
    <col min="245" max="245" width="19" style="13" customWidth="1"/>
    <col min="246" max="246" width="15.375" style="13" customWidth="1"/>
    <col min="247" max="247" width="14.5" style="13" customWidth="1"/>
    <col min="248" max="248" width="19.75" style="13" customWidth="1"/>
    <col min="249" max="249" width="20.5" style="13" customWidth="1"/>
    <col min="250" max="250" width="15.25" style="13" customWidth="1"/>
    <col min="251" max="251" width="15.625" style="13" customWidth="1"/>
    <col min="252" max="252" width="15.625" style="13" bestFit="1" customWidth="1"/>
    <col min="253" max="253" width="14.875" style="13" customWidth="1"/>
    <col min="254" max="254" width="15.625" style="13" bestFit="1" customWidth="1"/>
    <col min="255" max="255" width="15" style="13" customWidth="1"/>
    <col min="256" max="256" width="15.625" style="13" bestFit="1" customWidth="1"/>
    <col min="257" max="257" width="15.875" style="13" customWidth="1"/>
    <col min="258" max="258" width="16.25" style="13" customWidth="1"/>
    <col min="259" max="259" width="16.75" style="13" customWidth="1"/>
    <col min="260" max="260" width="14.875" style="13" customWidth="1"/>
    <col min="261" max="261" width="19.625" style="13" bestFit="1" customWidth="1"/>
    <col min="262" max="262" width="21.875" style="13" customWidth="1"/>
    <col min="263" max="499" width="11" style="13"/>
    <col min="500" max="500" width="51" style="13" customWidth="1"/>
    <col min="501" max="501" width="19" style="13" customWidth="1"/>
    <col min="502" max="502" width="15.375" style="13" customWidth="1"/>
    <col min="503" max="503" width="14.5" style="13" customWidth="1"/>
    <col min="504" max="504" width="19.75" style="13" customWidth="1"/>
    <col min="505" max="505" width="20.5" style="13" customWidth="1"/>
    <col min="506" max="506" width="15.25" style="13" customWidth="1"/>
    <col min="507" max="507" width="15.625" style="13" customWidth="1"/>
    <col min="508" max="508" width="15.625" style="13" bestFit="1" customWidth="1"/>
    <col min="509" max="509" width="14.875" style="13" customWidth="1"/>
    <col min="510" max="510" width="15.625" style="13" bestFit="1" customWidth="1"/>
    <col min="511" max="511" width="15" style="13" customWidth="1"/>
    <col min="512" max="512" width="15.625" style="13" bestFit="1" customWidth="1"/>
    <col min="513" max="513" width="15.875" style="13" customWidth="1"/>
    <col min="514" max="514" width="16.25" style="13" customWidth="1"/>
    <col min="515" max="515" width="16.75" style="13" customWidth="1"/>
    <col min="516" max="516" width="14.875" style="13" customWidth="1"/>
    <col min="517" max="517" width="19.625" style="13" bestFit="1" customWidth="1"/>
    <col min="518" max="518" width="21.875" style="13" customWidth="1"/>
    <col min="519" max="755" width="11" style="13"/>
    <col min="756" max="756" width="51" style="13" customWidth="1"/>
    <col min="757" max="757" width="19" style="13" customWidth="1"/>
    <col min="758" max="758" width="15.375" style="13" customWidth="1"/>
    <col min="759" max="759" width="14.5" style="13" customWidth="1"/>
    <col min="760" max="760" width="19.75" style="13" customWidth="1"/>
    <col min="761" max="761" width="20.5" style="13" customWidth="1"/>
    <col min="762" max="762" width="15.25" style="13" customWidth="1"/>
    <col min="763" max="763" width="15.625" style="13" customWidth="1"/>
    <col min="764" max="764" width="15.625" style="13" bestFit="1" customWidth="1"/>
    <col min="765" max="765" width="14.875" style="13" customWidth="1"/>
    <col min="766" max="766" width="15.625" style="13" bestFit="1" customWidth="1"/>
    <col min="767" max="767" width="15" style="13" customWidth="1"/>
    <col min="768" max="768" width="15.625" style="13" bestFit="1" customWidth="1"/>
    <col min="769" max="769" width="15.875" style="13" customWidth="1"/>
    <col min="770" max="770" width="16.25" style="13" customWidth="1"/>
    <col min="771" max="771" width="16.75" style="13" customWidth="1"/>
    <col min="772" max="772" width="14.875" style="13" customWidth="1"/>
    <col min="773" max="773" width="19.625" style="13" bestFit="1" customWidth="1"/>
    <col min="774" max="774" width="21.875" style="13" customWidth="1"/>
    <col min="775" max="1011" width="11" style="13"/>
    <col min="1012" max="1012" width="51" style="13" customWidth="1"/>
    <col min="1013" max="1013" width="19" style="13" customWidth="1"/>
    <col min="1014" max="1014" width="15.375" style="13" customWidth="1"/>
    <col min="1015" max="1015" width="14.5" style="13" customWidth="1"/>
    <col min="1016" max="1016" width="19.75" style="13" customWidth="1"/>
    <col min="1017" max="1017" width="20.5" style="13" customWidth="1"/>
    <col min="1018" max="1018" width="15.25" style="13" customWidth="1"/>
    <col min="1019" max="1019" width="15.625" style="13" customWidth="1"/>
    <col min="1020" max="1020" width="15.625" style="13" bestFit="1" customWidth="1"/>
    <col min="1021" max="1021" width="14.875" style="13" customWidth="1"/>
    <col min="1022" max="1022" width="15.625" style="13" bestFit="1" customWidth="1"/>
    <col min="1023" max="1023" width="15" style="13" customWidth="1"/>
    <col min="1024" max="1024" width="15.625" style="13" bestFit="1" customWidth="1"/>
    <col min="1025" max="1025" width="15.875" style="13" customWidth="1"/>
    <col min="1026" max="1026" width="16.25" style="13" customWidth="1"/>
    <col min="1027" max="1027" width="16.75" style="13" customWidth="1"/>
    <col min="1028" max="1028" width="14.875" style="13" customWidth="1"/>
    <col min="1029" max="1029" width="19.625" style="13" bestFit="1" customWidth="1"/>
    <col min="1030" max="1030" width="21.875" style="13" customWidth="1"/>
    <col min="1031" max="1267" width="11" style="13"/>
    <col min="1268" max="1268" width="51" style="13" customWidth="1"/>
    <col min="1269" max="1269" width="19" style="13" customWidth="1"/>
    <col min="1270" max="1270" width="15.375" style="13" customWidth="1"/>
    <col min="1271" max="1271" width="14.5" style="13" customWidth="1"/>
    <col min="1272" max="1272" width="19.75" style="13" customWidth="1"/>
    <col min="1273" max="1273" width="20.5" style="13" customWidth="1"/>
    <col min="1274" max="1274" width="15.25" style="13" customWidth="1"/>
    <col min="1275" max="1275" width="15.625" style="13" customWidth="1"/>
    <col min="1276" max="1276" width="15.625" style="13" bestFit="1" customWidth="1"/>
    <col min="1277" max="1277" width="14.875" style="13" customWidth="1"/>
    <col min="1278" max="1278" width="15.625" style="13" bestFit="1" customWidth="1"/>
    <col min="1279" max="1279" width="15" style="13" customWidth="1"/>
    <col min="1280" max="1280" width="15.625" style="13" bestFit="1" customWidth="1"/>
    <col min="1281" max="1281" width="15.875" style="13" customWidth="1"/>
    <col min="1282" max="1282" width="16.25" style="13" customWidth="1"/>
    <col min="1283" max="1283" width="16.75" style="13" customWidth="1"/>
    <col min="1284" max="1284" width="14.875" style="13" customWidth="1"/>
    <col min="1285" max="1285" width="19.625" style="13" bestFit="1" customWidth="1"/>
    <col min="1286" max="1286" width="21.875" style="13" customWidth="1"/>
    <col min="1287" max="1523" width="11" style="13"/>
    <col min="1524" max="1524" width="51" style="13" customWidth="1"/>
    <col min="1525" max="1525" width="19" style="13" customWidth="1"/>
    <col min="1526" max="1526" width="15.375" style="13" customWidth="1"/>
    <col min="1527" max="1527" width="14.5" style="13" customWidth="1"/>
    <col min="1528" max="1528" width="19.75" style="13" customWidth="1"/>
    <col min="1529" max="1529" width="20.5" style="13" customWidth="1"/>
    <col min="1530" max="1530" width="15.25" style="13" customWidth="1"/>
    <col min="1531" max="1531" width="15.625" style="13" customWidth="1"/>
    <col min="1532" max="1532" width="15.625" style="13" bestFit="1" customWidth="1"/>
    <col min="1533" max="1533" width="14.875" style="13" customWidth="1"/>
    <col min="1534" max="1534" width="15.625" style="13" bestFit="1" customWidth="1"/>
    <col min="1535" max="1535" width="15" style="13" customWidth="1"/>
    <col min="1536" max="1536" width="15.625" style="13" bestFit="1" customWidth="1"/>
    <col min="1537" max="1537" width="15.875" style="13" customWidth="1"/>
    <col min="1538" max="1538" width="16.25" style="13" customWidth="1"/>
    <col min="1539" max="1539" width="16.75" style="13" customWidth="1"/>
    <col min="1540" max="1540" width="14.875" style="13" customWidth="1"/>
    <col min="1541" max="1541" width="19.625" style="13" bestFit="1" customWidth="1"/>
    <col min="1542" max="1542" width="21.875" style="13" customWidth="1"/>
    <col min="1543" max="1779" width="11" style="13"/>
    <col min="1780" max="1780" width="51" style="13" customWidth="1"/>
    <col min="1781" max="1781" width="19" style="13" customWidth="1"/>
    <col min="1782" max="1782" width="15.375" style="13" customWidth="1"/>
    <col min="1783" max="1783" width="14.5" style="13" customWidth="1"/>
    <col min="1784" max="1784" width="19.75" style="13" customWidth="1"/>
    <col min="1785" max="1785" width="20.5" style="13" customWidth="1"/>
    <col min="1786" max="1786" width="15.25" style="13" customWidth="1"/>
    <col min="1787" max="1787" width="15.625" style="13" customWidth="1"/>
    <col min="1788" max="1788" width="15.625" style="13" bestFit="1" customWidth="1"/>
    <col min="1789" max="1789" width="14.875" style="13" customWidth="1"/>
    <col min="1790" max="1790" width="15.625" style="13" bestFit="1" customWidth="1"/>
    <col min="1791" max="1791" width="15" style="13" customWidth="1"/>
    <col min="1792" max="1792" width="15.625" style="13" bestFit="1" customWidth="1"/>
    <col min="1793" max="1793" width="15.875" style="13" customWidth="1"/>
    <col min="1794" max="1794" width="16.25" style="13" customWidth="1"/>
    <col min="1795" max="1795" width="16.75" style="13" customWidth="1"/>
    <col min="1796" max="1796" width="14.875" style="13" customWidth="1"/>
    <col min="1797" max="1797" width="19.625" style="13" bestFit="1" customWidth="1"/>
    <col min="1798" max="1798" width="21.875" style="13" customWidth="1"/>
    <col min="1799" max="2035" width="11" style="13"/>
    <col min="2036" max="2036" width="51" style="13" customWidth="1"/>
    <col min="2037" max="2037" width="19" style="13" customWidth="1"/>
    <col min="2038" max="2038" width="15.375" style="13" customWidth="1"/>
    <col min="2039" max="2039" width="14.5" style="13" customWidth="1"/>
    <col min="2040" max="2040" width="19.75" style="13" customWidth="1"/>
    <col min="2041" max="2041" width="20.5" style="13" customWidth="1"/>
    <col min="2042" max="2042" width="15.25" style="13" customWidth="1"/>
    <col min="2043" max="2043" width="15.625" style="13" customWidth="1"/>
    <col min="2044" max="2044" width="15.625" style="13" bestFit="1" customWidth="1"/>
    <col min="2045" max="2045" width="14.875" style="13" customWidth="1"/>
    <col min="2046" max="2046" width="15.625" style="13" bestFit="1" customWidth="1"/>
    <col min="2047" max="2047" width="15" style="13" customWidth="1"/>
    <col min="2048" max="2048" width="15.625" style="13" bestFit="1" customWidth="1"/>
    <col min="2049" max="2049" width="15.875" style="13" customWidth="1"/>
    <col min="2050" max="2050" width="16.25" style="13" customWidth="1"/>
    <col min="2051" max="2051" width="16.75" style="13" customWidth="1"/>
    <col min="2052" max="2052" width="14.875" style="13" customWidth="1"/>
    <col min="2053" max="2053" width="19.625" style="13" bestFit="1" customWidth="1"/>
    <col min="2054" max="2054" width="21.875" style="13" customWidth="1"/>
    <col min="2055" max="2291" width="11" style="13"/>
    <col min="2292" max="2292" width="51" style="13" customWidth="1"/>
    <col min="2293" max="2293" width="19" style="13" customWidth="1"/>
    <col min="2294" max="2294" width="15.375" style="13" customWidth="1"/>
    <col min="2295" max="2295" width="14.5" style="13" customWidth="1"/>
    <col min="2296" max="2296" width="19.75" style="13" customWidth="1"/>
    <col min="2297" max="2297" width="20.5" style="13" customWidth="1"/>
    <col min="2298" max="2298" width="15.25" style="13" customWidth="1"/>
    <col min="2299" max="2299" width="15.625" style="13" customWidth="1"/>
    <col min="2300" max="2300" width="15.625" style="13" bestFit="1" customWidth="1"/>
    <col min="2301" max="2301" width="14.875" style="13" customWidth="1"/>
    <col min="2302" max="2302" width="15.625" style="13" bestFit="1" customWidth="1"/>
    <col min="2303" max="2303" width="15" style="13" customWidth="1"/>
    <col min="2304" max="2304" width="15.625" style="13" bestFit="1" customWidth="1"/>
    <col min="2305" max="2305" width="15.875" style="13" customWidth="1"/>
    <col min="2306" max="2306" width="16.25" style="13" customWidth="1"/>
    <col min="2307" max="2307" width="16.75" style="13" customWidth="1"/>
    <col min="2308" max="2308" width="14.875" style="13" customWidth="1"/>
    <col min="2309" max="2309" width="19.625" style="13" bestFit="1" customWidth="1"/>
    <col min="2310" max="2310" width="21.875" style="13" customWidth="1"/>
    <col min="2311" max="2547" width="11" style="13"/>
    <col min="2548" max="2548" width="51" style="13" customWidth="1"/>
    <col min="2549" max="2549" width="19" style="13" customWidth="1"/>
    <col min="2550" max="2550" width="15.375" style="13" customWidth="1"/>
    <col min="2551" max="2551" width="14.5" style="13" customWidth="1"/>
    <col min="2552" max="2552" width="19.75" style="13" customWidth="1"/>
    <col min="2553" max="2553" width="20.5" style="13" customWidth="1"/>
    <col min="2554" max="2554" width="15.25" style="13" customWidth="1"/>
    <col min="2555" max="2555" width="15.625" style="13" customWidth="1"/>
    <col min="2556" max="2556" width="15.625" style="13" bestFit="1" customWidth="1"/>
    <col min="2557" max="2557" width="14.875" style="13" customWidth="1"/>
    <col min="2558" max="2558" width="15.625" style="13" bestFit="1" customWidth="1"/>
    <col min="2559" max="2559" width="15" style="13" customWidth="1"/>
    <col min="2560" max="2560" width="15.625" style="13" bestFit="1" customWidth="1"/>
    <col min="2561" max="2561" width="15.875" style="13" customWidth="1"/>
    <col min="2562" max="2562" width="16.25" style="13" customWidth="1"/>
    <col min="2563" max="2563" width="16.75" style="13" customWidth="1"/>
    <col min="2564" max="2564" width="14.875" style="13" customWidth="1"/>
    <col min="2565" max="2565" width="19.625" style="13" bestFit="1" customWidth="1"/>
    <col min="2566" max="2566" width="21.875" style="13" customWidth="1"/>
    <col min="2567" max="2803" width="11" style="13"/>
    <col min="2804" max="2804" width="51" style="13" customWidth="1"/>
    <col min="2805" max="2805" width="19" style="13" customWidth="1"/>
    <col min="2806" max="2806" width="15.375" style="13" customWidth="1"/>
    <col min="2807" max="2807" width="14.5" style="13" customWidth="1"/>
    <col min="2808" max="2808" width="19.75" style="13" customWidth="1"/>
    <col min="2809" max="2809" width="20.5" style="13" customWidth="1"/>
    <col min="2810" max="2810" width="15.25" style="13" customWidth="1"/>
    <col min="2811" max="2811" width="15.625" style="13" customWidth="1"/>
    <col min="2812" max="2812" width="15.625" style="13" bestFit="1" customWidth="1"/>
    <col min="2813" max="2813" width="14.875" style="13" customWidth="1"/>
    <col min="2814" max="2814" width="15.625" style="13" bestFit="1" customWidth="1"/>
    <col min="2815" max="2815" width="15" style="13" customWidth="1"/>
    <col min="2816" max="2816" width="15.625" style="13" bestFit="1" customWidth="1"/>
    <col min="2817" max="2817" width="15.875" style="13" customWidth="1"/>
    <col min="2818" max="2818" width="16.25" style="13" customWidth="1"/>
    <col min="2819" max="2819" width="16.75" style="13" customWidth="1"/>
    <col min="2820" max="2820" width="14.875" style="13" customWidth="1"/>
    <col min="2821" max="2821" width="19.625" style="13" bestFit="1" customWidth="1"/>
    <col min="2822" max="2822" width="21.875" style="13" customWidth="1"/>
    <col min="2823" max="3059" width="11" style="13"/>
    <col min="3060" max="3060" width="51" style="13" customWidth="1"/>
    <col min="3061" max="3061" width="19" style="13" customWidth="1"/>
    <col min="3062" max="3062" width="15.375" style="13" customWidth="1"/>
    <col min="3063" max="3063" width="14.5" style="13" customWidth="1"/>
    <col min="3064" max="3064" width="19.75" style="13" customWidth="1"/>
    <col min="3065" max="3065" width="20.5" style="13" customWidth="1"/>
    <col min="3066" max="3066" width="15.25" style="13" customWidth="1"/>
    <col min="3067" max="3067" width="15.625" style="13" customWidth="1"/>
    <col min="3068" max="3068" width="15.625" style="13" bestFit="1" customWidth="1"/>
    <col min="3069" max="3069" width="14.875" style="13" customWidth="1"/>
    <col min="3070" max="3070" width="15.625" style="13" bestFit="1" customWidth="1"/>
    <col min="3071" max="3071" width="15" style="13" customWidth="1"/>
    <col min="3072" max="3072" width="15.625" style="13" bestFit="1" customWidth="1"/>
    <col min="3073" max="3073" width="15.875" style="13" customWidth="1"/>
    <col min="3074" max="3074" width="16.25" style="13" customWidth="1"/>
    <col min="3075" max="3075" width="16.75" style="13" customWidth="1"/>
    <col min="3076" max="3076" width="14.875" style="13" customWidth="1"/>
    <col min="3077" max="3077" width="19.625" style="13" bestFit="1" customWidth="1"/>
    <col min="3078" max="3078" width="21.875" style="13" customWidth="1"/>
    <col min="3079" max="3315" width="11" style="13"/>
    <col min="3316" max="3316" width="51" style="13" customWidth="1"/>
    <col min="3317" max="3317" width="19" style="13" customWidth="1"/>
    <col min="3318" max="3318" width="15.375" style="13" customWidth="1"/>
    <col min="3319" max="3319" width="14.5" style="13" customWidth="1"/>
    <col min="3320" max="3320" width="19.75" style="13" customWidth="1"/>
    <col min="3321" max="3321" width="20.5" style="13" customWidth="1"/>
    <col min="3322" max="3322" width="15.25" style="13" customWidth="1"/>
    <col min="3323" max="3323" width="15.625" style="13" customWidth="1"/>
    <col min="3324" max="3324" width="15.625" style="13" bestFit="1" customWidth="1"/>
    <col min="3325" max="3325" width="14.875" style="13" customWidth="1"/>
    <col min="3326" max="3326" width="15.625" style="13" bestFit="1" customWidth="1"/>
    <col min="3327" max="3327" width="15" style="13" customWidth="1"/>
    <col min="3328" max="3328" width="15.625" style="13" bestFit="1" customWidth="1"/>
    <col min="3329" max="3329" width="15.875" style="13" customWidth="1"/>
    <col min="3330" max="3330" width="16.25" style="13" customWidth="1"/>
    <col min="3331" max="3331" width="16.75" style="13" customWidth="1"/>
    <col min="3332" max="3332" width="14.875" style="13" customWidth="1"/>
    <col min="3333" max="3333" width="19.625" style="13" bestFit="1" customWidth="1"/>
    <col min="3334" max="3334" width="21.875" style="13" customWidth="1"/>
    <col min="3335" max="3571" width="11" style="13"/>
    <col min="3572" max="3572" width="51" style="13" customWidth="1"/>
    <col min="3573" max="3573" width="19" style="13" customWidth="1"/>
    <col min="3574" max="3574" width="15.375" style="13" customWidth="1"/>
    <col min="3575" max="3575" width="14.5" style="13" customWidth="1"/>
    <col min="3576" max="3576" width="19.75" style="13" customWidth="1"/>
    <col min="3577" max="3577" width="20.5" style="13" customWidth="1"/>
    <col min="3578" max="3578" width="15.25" style="13" customWidth="1"/>
    <col min="3579" max="3579" width="15.625" style="13" customWidth="1"/>
    <col min="3580" max="3580" width="15.625" style="13" bestFit="1" customWidth="1"/>
    <col min="3581" max="3581" width="14.875" style="13" customWidth="1"/>
    <col min="3582" max="3582" width="15.625" style="13" bestFit="1" customWidth="1"/>
    <col min="3583" max="3583" width="15" style="13" customWidth="1"/>
    <col min="3584" max="3584" width="15.625" style="13" bestFit="1" customWidth="1"/>
    <col min="3585" max="3585" width="15.875" style="13" customWidth="1"/>
    <col min="3586" max="3586" width="16.25" style="13" customWidth="1"/>
    <col min="3587" max="3587" width="16.75" style="13" customWidth="1"/>
    <col min="3588" max="3588" width="14.875" style="13" customWidth="1"/>
    <col min="3589" max="3589" width="19.625" style="13" bestFit="1" customWidth="1"/>
    <col min="3590" max="3590" width="21.875" style="13" customWidth="1"/>
    <col min="3591" max="3827" width="11" style="13"/>
    <col min="3828" max="3828" width="51" style="13" customWidth="1"/>
    <col min="3829" max="3829" width="19" style="13" customWidth="1"/>
    <col min="3830" max="3830" width="15.375" style="13" customWidth="1"/>
    <col min="3831" max="3831" width="14.5" style="13" customWidth="1"/>
    <col min="3832" max="3832" width="19.75" style="13" customWidth="1"/>
    <col min="3833" max="3833" width="20.5" style="13" customWidth="1"/>
    <col min="3834" max="3834" width="15.25" style="13" customWidth="1"/>
    <col min="3835" max="3835" width="15.625" style="13" customWidth="1"/>
    <col min="3836" max="3836" width="15.625" style="13" bestFit="1" customWidth="1"/>
    <col min="3837" max="3837" width="14.875" style="13" customWidth="1"/>
    <col min="3838" max="3838" width="15.625" style="13" bestFit="1" customWidth="1"/>
    <col min="3839" max="3839" width="15" style="13" customWidth="1"/>
    <col min="3840" max="3840" width="15.625" style="13" bestFit="1" customWidth="1"/>
    <col min="3841" max="3841" width="15.875" style="13" customWidth="1"/>
    <col min="3842" max="3842" width="16.25" style="13" customWidth="1"/>
    <col min="3843" max="3843" width="16.75" style="13" customWidth="1"/>
    <col min="3844" max="3844" width="14.875" style="13" customWidth="1"/>
    <col min="3845" max="3845" width="19.625" style="13" bestFit="1" customWidth="1"/>
    <col min="3846" max="3846" width="21.875" style="13" customWidth="1"/>
    <col min="3847" max="4083" width="11" style="13"/>
    <col min="4084" max="4084" width="51" style="13" customWidth="1"/>
    <col min="4085" max="4085" width="19" style="13" customWidth="1"/>
    <col min="4086" max="4086" width="15.375" style="13" customWidth="1"/>
    <col min="4087" max="4087" width="14.5" style="13" customWidth="1"/>
    <col min="4088" max="4088" width="19.75" style="13" customWidth="1"/>
    <col min="4089" max="4089" width="20.5" style="13" customWidth="1"/>
    <col min="4090" max="4090" width="15.25" style="13" customWidth="1"/>
    <col min="4091" max="4091" width="15.625" style="13" customWidth="1"/>
    <col min="4092" max="4092" width="15.625" style="13" bestFit="1" customWidth="1"/>
    <col min="4093" max="4093" width="14.875" style="13" customWidth="1"/>
    <col min="4094" max="4094" width="15.625" style="13" bestFit="1" customWidth="1"/>
    <col min="4095" max="4095" width="15" style="13" customWidth="1"/>
    <col min="4096" max="4096" width="15.625" style="13" bestFit="1" customWidth="1"/>
    <col min="4097" max="4097" width="15.875" style="13" customWidth="1"/>
    <col min="4098" max="4098" width="16.25" style="13" customWidth="1"/>
    <col min="4099" max="4099" width="16.75" style="13" customWidth="1"/>
    <col min="4100" max="4100" width="14.875" style="13" customWidth="1"/>
    <col min="4101" max="4101" width="19.625" style="13" bestFit="1" customWidth="1"/>
    <col min="4102" max="4102" width="21.875" style="13" customWidth="1"/>
    <col min="4103" max="4339" width="11" style="13"/>
    <col min="4340" max="4340" width="51" style="13" customWidth="1"/>
    <col min="4341" max="4341" width="19" style="13" customWidth="1"/>
    <col min="4342" max="4342" width="15.375" style="13" customWidth="1"/>
    <col min="4343" max="4343" width="14.5" style="13" customWidth="1"/>
    <col min="4344" max="4344" width="19.75" style="13" customWidth="1"/>
    <col min="4345" max="4345" width="20.5" style="13" customWidth="1"/>
    <col min="4346" max="4346" width="15.25" style="13" customWidth="1"/>
    <col min="4347" max="4347" width="15.625" style="13" customWidth="1"/>
    <col min="4348" max="4348" width="15.625" style="13" bestFit="1" customWidth="1"/>
    <col min="4349" max="4349" width="14.875" style="13" customWidth="1"/>
    <col min="4350" max="4350" width="15.625" style="13" bestFit="1" customWidth="1"/>
    <col min="4351" max="4351" width="15" style="13" customWidth="1"/>
    <col min="4352" max="4352" width="15.625" style="13" bestFit="1" customWidth="1"/>
    <col min="4353" max="4353" width="15.875" style="13" customWidth="1"/>
    <col min="4354" max="4354" width="16.25" style="13" customWidth="1"/>
    <col min="4355" max="4355" width="16.75" style="13" customWidth="1"/>
    <col min="4356" max="4356" width="14.875" style="13" customWidth="1"/>
    <col min="4357" max="4357" width="19.625" style="13" bestFit="1" customWidth="1"/>
    <col min="4358" max="4358" width="21.875" style="13" customWidth="1"/>
    <col min="4359" max="4595" width="11" style="13"/>
    <col min="4596" max="4596" width="51" style="13" customWidth="1"/>
    <col min="4597" max="4597" width="19" style="13" customWidth="1"/>
    <col min="4598" max="4598" width="15.375" style="13" customWidth="1"/>
    <col min="4599" max="4599" width="14.5" style="13" customWidth="1"/>
    <col min="4600" max="4600" width="19.75" style="13" customWidth="1"/>
    <col min="4601" max="4601" width="20.5" style="13" customWidth="1"/>
    <col min="4602" max="4602" width="15.25" style="13" customWidth="1"/>
    <col min="4603" max="4603" width="15.625" style="13" customWidth="1"/>
    <col min="4604" max="4604" width="15.625" style="13" bestFit="1" customWidth="1"/>
    <col min="4605" max="4605" width="14.875" style="13" customWidth="1"/>
    <col min="4606" max="4606" width="15.625" style="13" bestFit="1" customWidth="1"/>
    <col min="4607" max="4607" width="15" style="13" customWidth="1"/>
    <col min="4608" max="4608" width="15.625" style="13" bestFit="1" customWidth="1"/>
    <col min="4609" max="4609" width="15.875" style="13" customWidth="1"/>
    <col min="4610" max="4610" width="16.25" style="13" customWidth="1"/>
    <col min="4611" max="4611" width="16.75" style="13" customWidth="1"/>
    <col min="4612" max="4612" width="14.875" style="13" customWidth="1"/>
    <col min="4613" max="4613" width="19.625" style="13" bestFit="1" customWidth="1"/>
    <col min="4614" max="4614" width="21.875" style="13" customWidth="1"/>
    <col min="4615" max="4851" width="11" style="13"/>
    <col min="4852" max="4852" width="51" style="13" customWidth="1"/>
    <col min="4853" max="4853" width="19" style="13" customWidth="1"/>
    <col min="4854" max="4854" width="15.375" style="13" customWidth="1"/>
    <col min="4855" max="4855" width="14.5" style="13" customWidth="1"/>
    <col min="4856" max="4856" width="19.75" style="13" customWidth="1"/>
    <col min="4857" max="4857" width="20.5" style="13" customWidth="1"/>
    <col min="4858" max="4858" width="15.25" style="13" customWidth="1"/>
    <col min="4859" max="4859" width="15.625" style="13" customWidth="1"/>
    <col min="4860" max="4860" width="15.625" style="13" bestFit="1" customWidth="1"/>
    <col min="4861" max="4861" width="14.875" style="13" customWidth="1"/>
    <col min="4862" max="4862" width="15.625" style="13" bestFit="1" customWidth="1"/>
    <col min="4863" max="4863" width="15" style="13" customWidth="1"/>
    <col min="4864" max="4864" width="15.625" style="13" bestFit="1" customWidth="1"/>
    <col min="4865" max="4865" width="15.875" style="13" customWidth="1"/>
    <col min="4866" max="4866" width="16.25" style="13" customWidth="1"/>
    <col min="4867" max="4867" width="16.75" style="13" customWidth="1"/>
    <col min="4868" max="4868" width="14.875" style="13" customWidth="1"/>
    <col min="4869" max="4869" width="19.625" style="13" bestFit="1" customWidth="1"/>
    <col min="4870" max="4870" width="21.875" style="13" customWidth="1"/>
    <col min="4871" max="5107" width="11" style="13"/>
    <col min="5108" max="5108" width="51" style="13" customWidth="1"/>
    <col min="5109" max="5109" width="19" style="13" customWidth="1"/>
    <col min="5110" max="5110" width="15.375" style="13" customWidth="1"/>
    <col min="5111" max="5111" width="14.5" style="13" customWidth="1"/>
    <col min="5112" max="5112" width="19.75" style="13" customWidth="1"/>
    <col min="5113" max="5113" width="20.5" style="13" customWidth="1"/>
    <col min="5114" max="5114" width="15.25" style="13" customWidth="1"/>
    <col min="5115" max="5115" width="15.625" style="13" customWidth="1"/>
    <col min="5116" max="5116" width="15.625" style="13" bestFit="1" customWidth="1"/>
    <col min="5117" max="5117" width="14.875" style="13" customWidth="1"/>
    <col min="5118" max="5118" width="15.625" style="13" bestFit="1" customWidth="1"/>
    <col min="5119" max="5119" width="15" style="13" customWidth="1"/>
    <col min="5120" max="5120" width="15.625" style="13" bestFit="1" customWidth="1"/>
    <col min="5121" max="5121" width="15.875" style="13" customWidth="1"/>
    <col min="5122" max="5122" width="16.25" style="13" customWidth="1"/>
    <col min="5123" max="5123" width="16.75" style="13" customWidth="1"/>
    <col min="5124" max="5124" width="14.875" style="13" customWidth="1"/>
    <col min="5125" max="5125" width="19.625" style="13" bestFit="1" customWidth="1"/>
    <col min="5126" max="5126" width="21.875" style="13" customWidth="1"/>
    <col min="5127" max="5363" width="11" style="13"/>
    <col min="5364" max="5364" width="51" style="13" customWidth="1"/>
    <col min="5365" max="5365" width="19" style="13" customWidth="1"/>
    <col min="5366" max="5366" width="15.375" style="13" customWidth="1"/>
    <col min="5367" max="5367" width="14.5" style="13" customWidth="1"/>
    <col min="5368" max="5368" width="19.75" style="13" customWidth="1"/>
    <col min="5369" max="5369" width="20.5" style="13" customWidth="1"/>
    <col min="5370" max="5370" width="15.25" style="13" customWidth="1"/>
    <col min="5371" max="5371" width="15.625" style="13" customWidth="1"/>
    <col min="5372" max="5372" width="15.625" style="13" bestFit="1" customWidth="1"/>
    <col min="5373" max="5373" width="14.875" style="13" customWidth="1"/>
    <col min="5374" max="5374" width="15.625" style="13" bestFit="1" customWidth="1"/>
    <col min="5375" max="5375" width="15" style="13" customWidth="1"/>
    <col min="5376" max="5376" width="15.625" style="13" bestFit="1" customWidth="1"/>
    <col min="5377" max="5377" width="15.875" style="13" customWidth="1"/>
    <col min="5378" max="5378" width="16.25" style="13" customWidth="1"/>
    <col min="5379" max="5379" width="16.75" style="13" customWidth="1"/>
    <col min="5380" max="5380" width="14.875" style="13" customWidth="1"/>
    <col min="5381" max="5381" width="19.625" style="13" bestFit="1" customWidth="1"/>
    <col min="5382" max="5382" width="21.875" style="13" customWidth="1"/>
    <col min="5383" max="5619" width="11" style="13"/>
    <col min="5620" max="5620" width="51" style="13" customWidth="1"/>
    <col min="5621" max="5621" width="19" style="13" customWidth="1"/>
    <col min="5622" max="5622" width="15.375" style="13" customWidth="1"/>
    <col min="5623" max="5623" width="14.5" style="13" customWidth="1"/>
    <col min="5624" max="5624" width="19.75" style="13" customWidth="1"/>
    <col min="5625" max="5625" width="20.5" style="13" customWidth="1"/>
    <col min="5626" max="5626" width="15.25" style="13" customWidth="1"/>
    <col min="5627" max="5627" width="15.625" style="13" customWidth="1"/>
    <col min="5628" max="5628" width="15.625" style="13" bestFit="1" customWidth="1"/>
    <col min="5629" max="5629" width="14.875" style="13" customWidth="1"/>
    <col min="5630" max="5630" width="15.625" style="13" bestFit="1" customWidth="1"/>
    <col min="5631" max="5631" width="15" style="13" customWidth="1"/>
    <col min="5632" max="5632" width="15.625" style="13" bestFit="1" customWidth="1"/>
    <col min="5633" max="5633" width="15.875" style="13" customWidth="1"/>
    <col min="5634" max="5634" width="16.25" style="13" customWidth="1"/>
    <col min="5635" max="5635" width="16.75" style="13" customWidth="1"/>
    <col min="5636" max="5636" width="14.875" style="13" customWidth="1"/>
    <col min="5637" max="5637" width="19.625" style="13" bestFit="1" customWidth="1"/>
    <col min="5638" max="5638" width="21.875" style="13" customWidth="1"/>
    <col min="5639" max="5875" width="11" style="13"/>
    <col min="5876" max="5876" width="51" style="13" customWidth="1"/>
    <col min="5877" max="5877" width="19" style="13" customWidth="1"/>
    <col min="5878" max="5878" width="15.375" style="13" customWidth="1"/>
    <col min="5879" max="5879" width="14.5" style="13" customWidth="1"/>
    <col min="5880" max="5880" width="19.75" style="13" customWidth="1"/>
    <col min="5881" max="5881" width="20.5" style="13" customWidth="1"/>
    <col min="5882" max="5882" width="15.25" style="13" customWidth="1"/>
    <col min="5883" max="5883" width="15.625" style="13" customWidth="1"/>
    <col min="5884" max="5884" width="15.625" style="13" bestFit="1" customWidth="1"/>
    <col min="5885" max="5885" width="14.875" style="13" customWidth="1"/>
    <col min="5886" max="5886" width="15.625" style="13" bestFit="1" customWidth="1"/>
    <col min="5887" max="5887" width="15" style="13" customWidth="1"/>
    <col min="5888" max="5888" width="15.625" style="13" bestFit="1" customWidth="1"/>
    <col min="5889" max="5889" width="15.875" style="13" customWidth="1"/>
    <col min="5890" max="5890" width="16.25" style="13" customWidth="1"/>
    <col min="5891" max="5891" width="16.75" style="13" customWidth="1"/>
    <col min="5892" max="5892" width="14.875" style="13" customWidth="1"/>
    <col min="5893" max="5893" width="19.625" style="13" bestFit="1" customWidth="1"/>
    <col min="5894" max="5894" width="21.875" style="13" customWidth="1"/>
    <col min="5895" max="6131" width="11" style="13"/>
    <col min="6132" max="6132" width="51" style="13" customWidth="1"/>
    <col min="6133" max="6133" width="19" style="13" customWidth="1"/>
    <col min="6134" max="6134" width="15.375" style="13" customWidth="1"/>
    <col min="6135" max="6135" width="14.5" style="13" customWidth="1"/>
    <col min="6136" max="6136" width="19.75" style="13" customWidth="1"/>
    <col min="6137" max="6137" width="20.5" style="13" customWidth="1"/>
    <col min="6138" max="6138" width="15.25" style="13" customWidth="1"/>
    <col min="6139" max="6139" width="15.625" style="13" customWidth="1"/>
    <col min="6140" max="6140" width="15.625" style="13" bestFit="1" customWidth="1"/>
    <col min="6141" max="6141" width="14.875" style="13" customWidth="1"/>
    <col min="6142" max="6142" width="15.625" style="13" bestFit="1" customWidth="1"/>
    <col min="6143" max="6143" width="15" style="13" customWidth="1"/>
    <col min="6144" max="6144" width="15.625" style="13" bestFit="1" customWidth="1"/>
    <col min="6145" max="6145" width="15.875" style="13" customWidth="1"/>
    <col min="6146" max="6146" width="16.25" style="13" customWidth="1"/>
    <col min="6147" max="6147" width="16.75" style="13" customWidth="1"/>
    <col min="6148" max="6148" width="14.875" style="13" customWidth="1"/>
    <col min="6149" max="6149" width="19.625" style="13" bestFit="1" customWidth="1"/>
    <col min="6150" max="6150" width="21.875" style="13" customWidth="1"/>
    <col min="6151" max="6387" width="11" style="13"/>
    <col min="6388" max="6388" width="51" style="13" customWidth="1"/>
    <col min="6389" max="6389" width="19" style="13" customWidth="1"/>
    <col min="6390" max="6390" width="15.375" style="13" customWidth="1"/>
    <col min="6391" max="6391" width="14.5" style="13" customWidth="1"/>
    <col min="6392" max="6392" width="19.75" style="13" customWidth="1"/>
    <col min="6393" max="6393" width="20.5" style="13" customWidth="1"/>
    <col min="6394" max="6394" width="15.25" style="13" customWidth="1"/>
    <col min="6395" max="6395" width="15.625" style="13" customWidth="1"/>
    <col min="6396" max="6396" width="15.625" style="13" bestFit="1" customWidth="1"/>
    <col min="6397" max="6397" width="14.875" style="13" customWidth="1"/>
    <col min="6398" max="6398" width="15.625" style="13" bestFit="1" customWidth="1"/>
    <col min="6399" max="6399" width="15" style="13" customWidth="1"/>
    <col min="6400" max="6400" width="15.625" style="13" bestFit="1" customWidth="1"/>
    <col min="6401" max="6401" width="15.875" style="13" customWidth="1"/>
    <col min="6402" max="6402" width="16.25" style="13" customWidth="1"/>
    <col min="6403" max="6403" width="16.75" style="13" customWidth="1"/>
    <col min="6404" max="6404" width="14.875" style="13" customWidth="1"/>
    <col min="6405" max="6405" width="19.625" style="13" bestFit="1" customWidth="1"/>
    <col min="6406" max="6406" width="21.875" style="13" customWidth="1"/>
    <col min="6407" max="6643" width="11" style="13"/>
    <col min="6644" max="6644" width="51" style="13" customWidth="1"/>
    <col min="6645" max="6645" width="19" style="13" customWidth="1"/>
    <col min="6646" max="6646" width="15.375" style="13" customWidth="1"/>
    <col min="6647" max="6647" width="14.5" style="13" customWidth="1"/>
    <col min="6648" max="6648" width="19.75" style="13" customWidth="1"/>
    <col min="6649" max="6649" width="20.5" style="13" customWidth="1"/>
    <col min="6650" max="6650" width="15.25" style="13" customWidth="1"/>
    <col min="6651" max="6651" width="15.625" style="13" customWidth="1"/>
    <col min="6652" max="6652" width="15.625" style="13" bestFit="1" customWidth="1"/>
    <col min="6653" max="6653" width="14.875" style="13" customWidth="1"/>
    <col min="6654" max="6654" width="15.625" style="13" bestFit="1" customWidth="1"/>
    <col min="6655" max="6655" width="15" style="13" customWidth="1"/>
    <col min="6656" max="6656" width="15.625" style="13" bestFit="1" customWidth="1"/>
    <col min="6657" max="6657" width="15.875" style="13" customWidth="1"/>
    <col min="6658" max="6658" width="16.25" style="13" customWidth="1"/>
    <col min="6659" max="6659" width="16.75" style="13" customWidth="1"/>
    <col min="6660" max="6660" width="14.875" style="13" customWidth="1"/>
    <col min="6661" max="6661" width="19.625" style="13" bestFit="1" customWidth="1"/>
    <col min="6662" max="6662" width="21.875" style="13" customWidth="1"/>
    <col min="6663" max="6899" width="11" style="13"/>
    <col min="6900" max="6900" width="51" style="13" customWidth="1"/>
    <col min="6901" max="6901" width="19" style="13" customWidth="1"/>
    <col min="6902" max="6902" width="15.375" style="13" customWidth="1"/>
    <col min="6903" max="6903" width="14.5" style="13" customWidth="1"/>
    <col min="6904" max="6904" width="19.75" style="13" customWidth="1"/>
    <col min="6905" max="6905" width="20.5" style="13" customWidth="1"/>
    <col min="6906" max="6906" width="15.25" style="13" customWidth="1"/>
    <col min="6907" max="6907" width="15.625" style="13" customWidth="1"/>
    <col min="6908" max="6908" width="15.625" style="13" bestFit="1" customWidth="1"/>
    <col min="6909" max="6909" width="14.875" style="13" customWidth="1"/>
    <col min="6910" max="6910" width="15.625" style="13" bestFit="1" customWidth="1"/>
    <col min="6911" max="6911" width="15" style="13" customWidth="1"/>
    <col min="6912" max="6912" width="15.625" style="13" bestFit="1" customWidth="1"/>
    <col min="6913" max="6913" width="15.875" style="13" customWidth="1"/>
    <col min="6914" max="6914" width="16.25" style="13" customWidth="1"/>
    <col min="6915" max="6915" width="16.75" style="13" customWidth="1"/>
    <col min="6916" max="6916" width="14.875" style="13" customWidth="1"/>
    <col min="6917" max="6917" width="19.625" style="13" bestFit="1" customWidth="1"/>
    <col min="6918" max="6918" width="21.875" style="13" customWidth="1"/>
    <col min="6919" max="7155" width="11" style="13"/>
    <col min="7156" max="7156" width="51" style="13" customWidth="1"/>
    <col min="7157" max="7157" width="19" style="13" customWidth="1"/>
    <col min="7158" max="7158" width="15.375" style="13" customWidth="1"/>
    <col min="7159" max="7159" width="14.5" style="13" customWidth="1"/>
    <col min="7160" max="7160" width="19.75" style="13" customWidth="1"/>
    <col min="7161" max="7161" width="20.5" style="13" customWidth="1"/>
    <col min="7162" max="7162" width="15.25" style="13" customWidth="1"/>
    <col min="7163" max="7163" width="15.625" style="13" customWidth="1"/>
    <col min="7164" max="7164" width="15.625" style="13" bestFit="1" customWidth="1"/>
    <col min="7165" max="7165" width="14.875" style="13" customWidth="1"/>
    <col min="7166" max="7166" width="15.625" style="13" bestFit="1" customWidth="1"/>
    <col min="7167" max="7167" width="15" style="13" customWidth="1"/>
    <col min="7168" max="7168" width="15.625" style="13" bestFit="1" customWidth="1"/>
    <col min="7169" max="7169" width="15.875" style="13" customWidth="1"/>
    <col min="7170" max="7170" width="16.25" style="13" customWidth="1"/>
    <col min="7171" max="7171" width="16.75" style="13" customWidth="1"/>
    <col min="7172" max="7172" width="14.875" style="13" customWidth="1"/>
    <col min="7173" max="7173" width="19.625" style="13" bestFit="1" customWidth="1"/>
    <col min="7174" max="7174" width="21.875" style="13" customWidth="1"/>
    <col min="7175" max="7411" width="11" style="13"/>
    <col min="7412" max="7412" width="51" style="13" customWidth="1"/>
    <col min="7413" max="7413" width="19" style="13" customWidth="1"/>
    <col min="7414" max="7414" width="15.375" style="13" customWidth="1"/>
    <col min="7415" max="7415" width="14.5" style="13" customWidth="1"/>
    <col min="7416" max="7416" width="19.75" style="13" customWidth="1"/>
    <col min="7417" max="7417" width="20.5" style="13" customWidth="1"/>
    <col min="7418" max="7418" width="15.25" style="13" customWidth="1"/>
    <col min="7419" max="7419" width="15.625" style="13" customWidth="1"/>
    <col min="7420" max="7420" width="15.625" style="13" bestFit="1" customWidth="1"/>
    <col min="7421" max="7421" width="14.875" style="13" customWidth="1"/>
    <col min="7422" max="7422" width="15.625" style="13" bestFit="1" customWidth="1"/>
    <col min="7423" max="7423" width="15" style="13" customWidth="1"/>
    <col min="7424" max="7424" width="15.625" style="13" bestFit="1" customWidth="1"/>
    <col min="7425" max="7425" width="15.875" style="13" customWidth="1"/>
    <col min="7426" max="7426" width="16.25" style="13" customWidth="1"/>
    <col min="7427" max="7427" width="16.75" style="13" customWidth="1"/>
    <col min="7428" max="7428" width="14.875" style="13" customWidth="1"/>
    <col min="7429" max="7429" width="19.625" style="13" bestFit="1" customWidth="1"/>
    <col min="7430" max="7430" width="21.875" style="13" customWidth="1"/>
    <col min="7431" max="7667" width="11" style="13"/>
    <col min="7668" max="7668" width="51" style="13" customWidth="1"/>
    <col min="7669" max="7669" width="19" style="13" customWidth="1"/>
    <col min="7670" max="7670" width="15.375" style="13" customWidth="1"/>
    <col min="7671" max="7671" width="14.5" style="13" customWidth="1"/>
    <col min="7672" max="7672" width="19.75" style="13" customWidth="1"/>
    <col min="7673" max="7673" width="20.5" style="13" customWidth="1"/>
    <col min="7674" max="7674" width="15.25" style="13" customWidth="1"/>
    <col min="7675" max="7675" width="15.625" style="13" customWidth="1"/>
    <col min="7676" max="7676" width="15.625" style="13" bestFit="1" customWidth="1"/>
    <col min="7677" max="7677" width="14.875" style="13" customWidth="1"/>
    <col min="7678" max="7678" width="15.625" style="13" bestFit="1" customWidth="1"/>
    <col min="7679" max="7679" width="15" style="13" customWidth="1"/>
    <col min="7680" max="7680" width="15.625" style="13" bestFit="1" customWidth="1"/>
    <col min="7681" max="7681" width="15.875" style="13" customWidth="1"/>
    <col min="7682" max="7682" width="16.25" style="13" customWidth="1"/>
    <col min="7683" max="7683" width="16.75" style="13" customWidth="1"/>
    <col min="7684" max="7684" width="14.875" style="13" customWidth="1"/>
    <col min="7685" max="7685" width="19.625" style="13" bestFit="1" customWidth="1"/>
    <col min="7686" max="7686" width="21.875" style="13" customWidth="1"/>
    <col min="7687" max="7923" width="11" style="13"/>
    <col min="7924" max="7924" width="51" style="13" customWidth="1"/>
    <col min="7925" max="7925" width="19" style="13" customWidth="1"/>
    <col min="7926" max="7926" width="15.375" style="13" customWidth="1"/>
    <col min="7927" max="7927" width="14.5" style="13" customWidth="1"/>
    <col min="7928" max="7928" width="19.75" style="13" customWidth="1"/>
    <col min="7929" max="7929" width="20.5" style="13" customWidth="1"/>
    <col min="7930" max="7930" width="15.25" style="13" customWidth="1"/>
    <col min="7931" max="7931" width="15.625" style="13" customWidth="1"/>
    <col min="7932" max="7932" width="15.625" style="13" bestFit="1" customWidth="1"/>
    <col min="7933" max="7933" width="14.875" style="13" customWidth="1"/>
    <col min="7934" max="7934" width="15.625" style="13" bestFit="1" customWidth="1"/>
    <col min="7935" max="7935" width="15" style="13" customWidth="1"/>
    <col min="7936" max="7936" width="15.625" style="13" bestFit="1" customWidth="1"/>
    <col min="7937" max="7937" width="15.875" style="13" customWidth="1"/>
    <col min="7938" max="7938" width="16.25" style="13" customWidth="1"/>
    <col min="7939" max="7939" width="16.75" style="13" customWidth="1"/>
    <col min="7940" max="7940" width="14.875" style="13" customWidth="1"/>
    <col min="7941" max="7941" width="19.625" style="13" bestFit="1" customWidth="1"/>
    <col min="7942" max="7942" width="21.875" style="13" customWidth="1"/>
    <col min="7943" max="8179" width="11" style="13"/>
    <col min="8180" max="8180" width="51" style="13" customWidth="1"/>
    <col min="8181" max="8181" width="19" style="13" customWidth="1"/>
    <col min="8182" max="8182" width="15.375" style="13" customWidth="1"/>
    <col min="8183" max="8183" width="14.5" style="13" customWidth="1"/>
    <col min="8184" max="8184" width="19.75" style="13" customWidth="1"/>
    <col min="8185" max="8185" width="20.5" style="13" customWidth="1"/>
    <col min="8186" max="8186" width="15.25" style="13" customWidth="1"/>
    <col min="8187" max="8187" width="15.625" style="13" customWidth="1"/>
    <col min="8188" max="8188" width="15.625" style="13" bestFit="1" customWidth="1"/>
    <col min="8189" max="8189" width="14.875" style="13" customWidth="1"/>
    <col min="8190" max="8190" width="15.625" style="13" bestFit="1" customWidth="1"/>
    <col min="8191" max="8191" width="15" style="13" customWidth="1"/>
    <col min="8192" max="8192" width="15.625" style="13" bestFit="1" customWidth="1"/>
    <col min="8193" max="8193" width="15.875" style="13" customWidth="1"/>
    <col min="8194" max="8194" width="16.25" style="13" customWidth="1"/>
    <col min="8195" max="8195" width="16.75" style="13" customWidth="1"/>
    <col min="8196" max="8196" width="14.875" style="13" customWidth="1"/>
    <col min="8197" max="8197" width="19.625" style="13" bestFit="1" customWidth="1"/>
    <col min="8198" max="8198" width="21.875" style="13" customWidth="1"/>
    <col min="8199" max="8435" width="11" style="13"/>
    <col min="8436" max="8436" width="51" style="13" customWidth="1"/>
    <col min="8437" max="8437" width="19" style="13" customWidth="1"/>
    <col min="8438" max="8438" width="15.375" style="13" customWidth="1"/>
    <col min="8439" max="8439" width="14.5" style="13" customWidth="1"/>
    <col min="8440" max="8440" width="19.75" style="13" customWidth="1"/>
    <col min="8441" max="8441" width="20.5" style="13" customWidth="1"/>
    <col min="8442" max="8442" width="15.25" style="13" customWidth="1"/>
    <col min="8443" max="8443" width="15.625" style="13" customWidth="1"/>
    <col min="8444" max="8444" width="15.625" style="13" bestFit="1" customWidth="1"/>
    <col min="8445" max="8445" width="14.875" style="13" customWidth="1"/>
    <col min="8446" max="8446" width="15.625" style="13" bestFit="1" customWidth="1"/>
    <col min="8447" max="8447" width="15" style="13" customWidth="1"/>
    <col min="8448" max="8448" width="15.625" style="13" bestFit="1" customWidth="1"/>
    <col min="8449" max="8449" width="15.875" style="13" customWidth="1"/>
    <col min="8450" max="8450" width="16.25" style="13" customWidth="1"/>
    <col min="8451" max="8451" width="16.75" style="13" customWidth="1"/>
    <col min="8452" max="8452" width="14.875" style="13" customWidth="1"/>
    <col min="8453" max="8453" width="19.625" style="13" bestFit="1" customWidth="1"/>
    <col min="8454" max="8454" width="21.875" style="13" customWidth="1"/>
    <col min="8455" max="8691" width="11" style="13"/>
    <col min="8692" max="8692" width="51" style="13" customWidth="1"/>
    <col min="8693" max="8693" width="19" style="13" customWidth="1"/>
    <col min="8694" max="8694" width="15.375" style="13" customWidth="1"/>
    <col min="8695" max="8695" width="14.5" style="13" customWidth="1"/>
    <col min="8696" max="8696" width="19.75" style="13" customWidth="1"/>
    <col min="8697" max="8697" width="20.5" style="13" customWidth="1"/>
    <col min="8698" max="8698" width="15.25" style="13" customWidth="1"/>
    <col min="8699" max="8699" width="15.625" style="13" customWidth="1"/>
    <col min="8700" max="8700" width="15.625" style="13" bestFit="1" customWidth="1"/>
    <col min="8701" max="8701" width="14.875" style="13" customWidth="1"/>
    <col min="8702" max="8702" width="15.625" style="13" bestFit="1" customWidth="1"/>
    <col min="8703" max="8703" width="15" style="13" customWidth="1"/>
    <col min="8704" max="8704" width="15.625" style="13" bestFit="1" customWidth="1"/>
    <col min="8705" max="8705" width="15.875" style="13" customWidth="1"/>
    <col min="8706" max="8706" width="16.25" style="13" customWidth="1"/>
    <col min="8707" max="8707" width="16.75" style="13" customWidth="1"/>
    <col min="8708" max="8708" width="14.875" style="13" customWidth="1"/>
    <col min="8709" max="8709" width="19.625" style="13" bestFit="1" customWidth="1"/>
    <col min="8710" max="8710" width="21.875" style="13" customWidth="1"/>
    <col min="8711" max="8947" width="11" style="13"/>
    <col min="8948" max="8948" width="51" style="13" customWidth="1"/>
    <col min="8949" max="8949" width="19" style="13" customWidth="1"/>
    <col min="8950" max="8950" width="15.375" style="13" customWidth="1"/>
    <col min="8951" max="8951" width="14.5" style="13" customWidth="1"/>
    <col min="8952" max="8952" width="19.75" style="13" customWidth="1"/>
    <col min="8953" max="8953" width="20.5" style="13" customWidth="1"/>
    <col min="8954" max="8954" width="15.25" style="13" customWidth="1"/>
    <col min="8955" max="8955" width="15.625" style="13" customWidth="1"/>
    <col min="8956" max="8956" width="15.625" style="13" bestFit="1" customWidth="1"/>
    <col min="8957" max="8957" width="14.875" style="13" customWidth="1"/>
    <col min="8958" max="8958" width="15.625" style="13" bestFit="1" customWidth="1"/>
    <col min="8959" max="8959" width="15" style="13" customWidth="1"/>
    <col min="8960" max="8960" width="15.625" style="13" bestFit="1" customWidth="1"/>
    <col min="8961" max="8961" width="15.875" style="13" customWidth="1"/>
    <col min="8962" max="8962" width="16.25" style="13" customWidth="1"/>
    <col min="8963" max="8963" width="16.75" style="13" customWidth="1"/>
    <col min="8964" max="8964" width="14.875" style="13" customWidth="1"/>
    <col min="8965" max="8965" width="19.625" style="13" bestFit="1" customWidth="1"/>
    <col min="8966" max="8966" width="21.875" style="13" customWidth="1"/>
    <col min="8967" max="9203" width="11" style="13"/>
    <col min="9204" max="9204" width="51" style="13" customWidth="1"/>
    <col min="9205" max="9205" width="19" style="13" customWidth="1"/>
    <col min="9206" max="9206" width="15.375" style="13" customWidth="1"/>
    <col min="9207" max="9207" width="14.5" style="13" customWidth="1"/>
    <col min="9208" max="9208" width="19.75" style="13" customWidth="1"/>
    <col min="9209" max="9209" width="20.5" style="13" customWidth="1"/>
    <col min="9210" max="9210" width="15.25" style="13" customWidth="1"/>
    <col min="9211" max="9211" width="15.625" style="13" customWidth="1"/>
    <col min="9212" max="9212" width="15.625" style="13" bestFit="1" customWidth="1"/>
    <col min="9213" max="9213" width="14.875" style="13" customWidth="1"/>
    <col min="9214" max="9214" width="15.625" style="13" bestFit="1" customWidth="1"/>
    <col min="9215" max="9215" width="15" style="13" customWidth="1"/>
    <col min="9216" max="9216" width="15.625" style="13" bestFit="1" customWidth="1"/>
    <col min="9217" max="9217" width="15.875" style="13" customWidth="1"/>
    <col min="9218" max="9218" width="16.25" style="13" customWidth="1"/>
    <col min="9219" max="9219" width="16.75" style="13" customWidth="1"/>
    <col min="9220" max="9220" width="14.875" style="13" customWidth="1"/>
    <col min="9221" max="9221" width="19.625" style="13" bestFit="1" customWidth="1"/>
    <col min="9222" max="9222" width="21.875" style="13" customWidth="1"/>
    <col min="9223" max="9459" width="11" style="13"/>
    <col min="9460" max="9460" width="51" style="13" customWidth="1"/>
    <col min="9461" max="9461" width="19" style="13" customWidth="1"/>
    <col min="9462" max="9462" width="15.375" style="13" customWidth="1"/>
    <col min="9463" max="9463" width="14.5" style="13" customWidth="1"/>
    <col min="9464" max="9464" width="19.75" style="13" customWidth="1"/>
    <col min="9465" max="9465" width="20.5" style="13" customWidth="1"/>
    <col min="9466" max="9466" width="15.25" style="13" customWidth="1"/>
    <col min="9467" max="9467" width="15.625" style="13" customWidth="1"/>
    <col min="9468" max="9468" width="15.625" style="13" bestFit="1" customWidth="1"/>
    <col min="9469" max="9469" width="14.875" style="13" customWidth="1"/>
    <col min="9470" max="9470" width="15.625" style="13" bestFit="1" customWidth="1"/>
    <col min="9471" max="9471" width="15" style="13" customWidth="1"/>
    <col min="9472" max="9472" width="15.625" style="13" bestFit="1" customWidth="1"/>
    <col min="9473" max="9473" width="15.875" style="13" customWidth="1"/>
    <col min="9474" max="9474" width="16.25" style="13" customWidth="1"/>
    <col min="9475" max="9475" width="16.75" style="13" customWidth="1"/>
    <col min="9476" max="9476" width="14.875" style="13" customWidth="1"/>
    <col min="9477" max="9477" width="19.625" style="13" bestFit="1" customWidth="1"/>
    <col min="9478" max="9478" width="21.875" style="13" customWidth="1"/>
    <col min="9479" max="9715" width="11" style="13"/>
    <col min="9716" max="9716" width="51" style="13" customWidth="1"/>
    <col min="9717" max="9717" width="19" style="13" customWidth="1"/>
    <col min="9718" max="9718" width="15.375" style="13" customWidth="1"/>
    <col min="9719" max="9719" width="14.5" style="13" customWidth="1"/>
    <col min="9720" max="9720" width="19.75" style="13" customWidth="1"/>
    <col min="9721" max="9721" width="20.5" style="13" customWidth="1"/>
    <col min="9722" max="9722" width="15.25" style="13" customWidth="1"/>
    <col min="9723" max="9723" width="15.625" style="13" customWidth="1"/>
    <col min="9724" max="9724" width="15.625" style="13" bestFit="1" customWidth="1"/>
    <col min="9725" max="9725" width="14.875" style="13" customWidth="1"/>
    <col min="9726" max="9726" width="15.625" style="13" bestFit="1" customWidth="1"/>
    <col min="9727" max="9727" width="15" style="13" customWidth="1"/>
    <col min="9728" max="9728" width="15.625" style="13" bestFit="1" customWidth="1"/>
    <col min="9729" max="9729" width="15.875" style="13" customWidth="1"/>
    <col min="9730" max="9730" width="16.25" style="13" customWidth="1"/>
    <col min="9731" max="9731" width="16.75" style="13" customWidth="1"/>
    <col min="9732" max="9732" width="14.875" style="13" customWidth="1"/>
    <col min="9733" max="9733" width="19.625" style="13" bestFit="1" customWidth="1"/>
    <col min="9734" max="9734" width="21.875" style="13" customWidth="1"/>
    <col min="9735" max="9971" width="11" style="13"/>
    <col min="9972" max="9972" width="51" style="13" customWidth="1"/>
    <col min="9973" max="9973" width="19" style="13" customWidth="1"/>
    <col min="9974" max="9974" width="15.375" style="13" customWidth="1"/>
    <col min="9975" max="9975" width="14.5" style="13" customWidth="1"/>
    <col min="9976" max="9976" width="19.75" style="13" customWidth="1"/>
    <col min="9977" max="9977" width="20.5" style="13" customWidth="1"/>
    <col min="9978" max="9978" width="15.25" style="13" customWidth="1"/>
    <col min="9979" max="9979" width="15.625" style="13" customWidth="1"/>
    <col min="9980" max="9980" width="15.625" style="13" bestFit="1" customWidth="1"/>
    <col min="9981" max="9981" width="14.875" style="13" customWidth="1"/>
    <col min="9982" max="9982" width="15.625" style="13" bestFit="1" customWidth="1"/>
    <col min="9983" max="9983" width="15" style="13" customWidth="1"/>
    <col min="9984" max="9984" width="15.625" style="13" bestFit="1" customWidth="1"/>
    <col min="9985" max="9985" width="15.875" style="13" customWidth="1"/>
    <col min="9986" max="9986" width="16.25" style="13" customWidth="1"/>
    <col min="9987" max="9987" width="16.75" style="13" customWidth="1"/>
    <col min="9988" max="9988" width="14.875" style="13" customWidth="1"/>
    <col min="9989" max="9989" width="19.625" style="13" bestFit="1" customWidth="1"/>
    <col min="9990" max="9990" width="21.875" style="13" customWidth="1"/>
    <col min="9991" max="10227" width="11" style="13"/>
    <col min="10228" max="10228" width="51" style="13" customWidth="1"/>
    <col min="10229" max="10229" width="19" style="13" customWidth="1"/>
    <col min="10230" max="10230" width="15.375" style="13" customWidth="1"/>
    <col min="10231" max="10231" width="14.5" style="13" customWidth="1"/>
    <col min="10232" max="10232" width="19.75" style="13" customWidth="1"/>
    <col min="10233" max="10233" width="20.5" style="13" customWidth="1"/>
    <col min="10234" max="10234" width="15.25" style="13" customWidth="1"/>
    <col min="10235" max="10235" width="15.625" style="13" customWidth="1"/>
    <col min="10236" max="10236" width="15.625" style="13" bestFit="1" customWidth="1"/>
    <col min="10237" max="10237" width="14.875" style="13" customWidth="1"/>
    <col min="10238" max="10238" width="15.625" style="13" bestFit="1" customWidth="1"/>
    <col min="10239" max="10239" width="15" style="13" customWidth="1"/>
    <col min="10240" max="10240" width="15.625" style="13" bestFit="1" customWidth="1"/>
    <col min="10241" max="10241" width="15.875" style="13" customWidth="1"/>
    <col min="10242" max="10242" width="16.25" style="13" customWidth="1"/>
    <col min="10243" max="10243" width="16.75" style="13" customWidth="1"/>
    <col min="10244" max="10244" width="14.875" style="13" customWidth="1"/>
    <col min="10245" max="10245" width="19.625" style="13" bestFit="1" customWidth="1"/>
    <col min="10246" max="10246" width="21.875" style="13" customWidth="1"/>
    <col min="10247" max="10483" width="11" style="13"/>
    <col min="10484" max="10484" width="51" style="13" customWidth="1"/>
    <col min="10485" max="10485" width="19" style="13" customWidth="1"/>
    <col min="10486" max="10486" width="15.375" style="13" customWidth="1"/>
    <col min="10487" max="10487" width="14.5" style="13" customWidth="1"/>
    <col min="10488" max="10488" width="19.75" style="13" customWidth="1"/>
    <col min="10489" max="10489" width="20.5" style="13" customWidth="1"/>
    <col min="10490" max="10490" width="15.25" style="13" customWidth="1"/>
    <col min="10491" max="10491" width="15.625" style="13" customWidth="1"/>
    <col min="10492" max="10492" width="15.625" style="13" bestFit="1" customWidth="1"/>
    <col min="10493" max="10493" width="14.875" style="13" customWidth="1"/>
    <col min="10494" max="10494" width="15.625" style="13" bestFit="1" customWidth="1"/>
    <col min="10495" max="10495" width="15" style="13" customWidth="1"/>
    <col min="10496" max="10496" width="15.625" style="13" bestFit="1" customWidth="1"/>
    <col min="10497" max="10497" width="15.875" style="13" customWidth="1"/>
    <col min="10498" max="10498" width="16.25" style="13" customWidth="1"/>
    <col min="10499" max="10499" width="16.75" style="13" customWidth="1"/>
    <col min="10500" max="10500" width="14.875" style="13" customWidth="1"/>
    <col min="10501" max="10501" width="19.625" style="13" bestFit="1" customWidth="1"/>
    <col min="10502" max="10502" width="21.875" style="13" customWidth="1"/>
    <col min="10503" max="10739" width="11" style="13"/>
    <col min="10740" max="10740" width="51" style="13" customWidth="1"/>
    <col min="10741" max="10741" width="19" style="13" customWidth="1"/>
    <col min="10742" max="10742" width="15.375" style="13" customWidth="1"/>
    <col min="10743" max="10743" width="14.5" style="13" customWidth="1"/>
    <col min="10744" max="10744" width="19.75" style="13" customWidth="1"/>
    <col min="10745" max="10745" width="20.5" style="13" customWidth="1"/>
    <col min="10746" max="10746" width="15.25" style="13" customWidth="1"/>
    <col min="10747" max="10747" width="15.625" style="13" customWidth="1"/>
    <col min="10748" max="10748" width="15.625" style="13" bestFit="1" customWidth="1"/>
    <col min="10749" max="10749" width="14.875" style="13" customWidth="1"/>
    <col min="10750" max="10750" width="15.625" style="13" bestFit="1" customWidth="1"/>
    <col min="10751" max="10751" width="15" style="13" customWidth="1"/>
    <col min="10752" max="10752" width="15.625" style="13" bestFit="1" customWidth="1"/>
    <col min="10753" max="10753" width="15.875" style="13" customWidth="1"/>
    <col min="10754" max="10754" width="16.25" style="13" customWidth="1"/>
    <col min="10755" max="10755" width="16.75" style="13" customWidth="1"/>
    <col min="10756" max="10756" width="14.875" style="13" customWidth="1"/>
    <col min="10757" max="10757" width="19.625" style="13" bestFit="1" customWidth="1"/>
    <col min="10758" max="10758" width="21.875" style="13" customWidth="1"/>
    <col min="10759" max="10995" width="11" style="13"/>
    <col min="10996" max="10996" width="51" style="13" customWidth="1"/>
    <col min="10997" max="10997" width="19" style="13" customWidth="1"/>
    <col min="10998" max="10998" width="15.375" style="13" customWidth="1"/>
    <col min="10999" max="10999" width="14.5" style="13" customWidth="1"/>
    <col min="11000" max="11000" width="19.75" style="13" customWidth="1"/>
    <col min="11001" max="11001" width="20.5" style="13" customWidth="1"/>
    <col min="11002" max="11002" width="15.25" style="13" customWidth="1"/>
    <col min="11003" max="11003" width="15.625" style="13" customWidth="1"/>
    <col min="11004" max="11004" width="15.625" style="13" bestFit="1" customWidth="1"/>
    <col min="11005" max="11005" width="14.875" style="13" customWidth="1"/>
    <col min="11006" max="11006" width="15.625" style="13" bestFit="1" customWidth="1"/>
    <col min="11007" max="11007" width="15" style="13" customWidth="1"/>
    <col min="11008" max="11008" width="15.625" style="13" bestFit="1" customWidth="1"/>
    <col min="11009" max="11009" width="15.875" style="13" customWidth="1"/>
    <col min="11010" max="11010" width="16.25" style="13" customWidth="1"/>
    <col min="11011" max="11011" width="16.75" style="13" customWidth="1"/>
    <col min="11012" max="11012" width="14.875" style="13" customWidth="1"/>
    <col min="11013" max="11013" width="19.625" style="13" bestFit="1" customWidth="1"/>
    <col min="11014" max="11014" width="21.875" style="13" customWidth="1"/>
    <col min="11015" max="11251" width="11" style="13"/>
    <col min="11252" max="11252" width="51" style="13" customWidth="1"/>
    <col min="11253" max="11253" width="19" style="13" customWidth="1"/>
    <col min="11254" max="11254" width="15.375" style="13" customWidth="1"/>
    <col min="11255" max="11255" width="14.5" style="13" customWidth="1"/>
    <col min="11256" max="11256" width="19.75" style="13" customWidth="1"/>
    <col min="11257" max="11257" width="20.5" style="13" customWidth="1"/>
    <col min="11258" max="11258" width="15.25" style="13" customWidth="1"/>
    <col min="11259" max="11259" width="15.625" style="13" customWidth="1"/>
    <col min="11260" max="11260" width="15.625" style="13" bestFit="1" customWidth="1"/>
    <col min="11261" max="11261" width="14.875" style="13" customWidth="1"/>
    <col min="11262" max="11262" width="15.625" style="13" bestFit="1" customWidth="1"/>
    <col min="11263" max="11263" width="15" style="13" customWidth="1"/>
    <col min="11264" max="11264" width="15.625" style="13" bestFit="1" customWidth="1"/>
    <col min="11265" max="11265" width="15.875" style="13" customWidth="1"/>
    <col min="11266" max="11266" width="16.25" style="13" customWidth="1"/>
    <col min="11267" max="11267" width="16.75" style="13" customWidth="1"/>
    <col min="11268" max="11268" width="14.875" style="13" customWidth="1"/>
    <col min="11269" max="11269" width="19.625" style="13" bestFit="1" customWidth="1"/>
    <col min="11270" max="11270" width="21.875" style="13" customWidth="1"/>
    <col min="11271" max="11507" width="11" style="13"/>
    <col min="11508" max="11508" width="51" style="13" customWidth="1"/>
    <col min="11509" max="11509" width="19" style="13" customWidth="1"/>
    <col min="11510" max="11510" width="15.375" style="13" customWidth="1"/>
    <col min="11511" max="11511" width="14.5" style="13" customWidth="1"/>
    <col min="11512" max="11512" width="19.75" style="13" customWidth="1"/>
    <col min="11513" max="11513" width="20.5" style="13" customWidth="1"/>
    <col min="11514" max="11514" width="15.25" style="13" customWidth="1"/>
    <col min="11515" max="11515" width="15.625" style="13" customWidth="1"/>
    <col min="11516" max="11516" width="15.625" style="13" bestFit="1" customWidth="1"/>
    <col min="11517" max="11517" width="14.875" style="13" customWidth="1"/>
    <col min="11518" max="11518" width="15.625" style="13" bestFit="1" customWidth="1"/>
    <col min="11519" max="11519" width="15" style="13" customWidth="1"/>
    <col min="11520" max="11520" width="15.625" style="13" bestFit="1" customWidth="1"/>
    <col min="11521" max="11521" width="15.875" style="13" customWidth="1"/>
    <col min="11522" max="11522" width="16.25" style="13" customWidth="1"/>
    <col min="11523" max="11523" width="16.75" style="13" customWidth="1"/>
    <col min="11524" max="11524" width="14.875" style="13" customWidth="1"/>
    <col min="11525" max="11525" width="19.625" style="13" bestFit="1" customWidth="1"/>
    <col min="11526" max="11526" width="21.875" style="13" customWidth="1"/>
    <col min="11527" max="11763" width="11" style="13"/>
    <col min="11764" max="11764" width="51" style="13" customWidth="1"/>
    <col min="11765" max="11765" width="19" style="13" customWidth="1"/>
    <col min="11766" max="11766" width="15.375" style="13" customWidth="1"/>
    <col min="11767" max="11767" width="14.5" style="13" customWidth="1"/>
    <col min="11768" max="11768" width="19.75" style="13" customWidth="1"/>
    <col min="11769" max="11769" width="20.5" style="13" customWidth="1"/>
    <col min="11770" max="11770" width="15.25" style="13" customWidth="1"/>
    <col min="11771" max="11771" width="15.625" style="13" customWidth="1"/>
    <col min="11772" max="11772" width="15.625" style="13" bestFit="1" customWidth="1"/>
    <col min="11773" max="11773" width="14.875" style="13" customWidth="1"/>
    <col min="11774" max="11774" width="15.625" style="13" bestFit="1" customWidth="1"/>
    <col min="11775" max="11775" width="15" style="13" customWidth="1"/>
    <col min="11776" max="11776" width="15.625" style="13" bestFit="1" customWidth="1"/>
    <col min="11777" max="11777" width="15.875" style="13" customWidth="1"/>
    <col min="11778" max="11778" width="16.25" style="13" customWidth="1"/>
    <col min="11779" max="11779" width="16.75" style="13" customWidth="1"/>
    <col min="11780" max="11780" width="14.875" style="13" customWidth="1"/>
    <col min="11781" max="11781" width="19.625" style="13" bestFit="1" customWidth="1"/>
    <col min="11782" max="11782" width="21.875" style="13" customWidth="1"/>
    <col min="11783" max="12019" width="11" style="13"/>
    <col min="12020" max="12020" width="51" style="13" customWidth="1"/>
    <col min="12021" max="12021" width="19" style="13" customWidth="1"/>
    <col min="12022" max="12022" width="15.375" style="13" customWidth="1"/>
    <col min="12023" max="12023" width="14.5" style="13" customWidth="1"/>
    <col min="12024" max="12024" width="19.75" style="13" customWidth="1"/>
    <col min="12025" max="12025" width="20.5" style="13" customWidth="1"/>
    <col min="12026" max="12026" width="15.25" style="13" customWidth="1"/>
    <col min="12027" max="12027" width="15.625" style="13" customWidth="1"/>
    <col min="12028" max="12028" width="15.625" style="13" bestFit="1" customWidth="1"/>
    <col min="12029" max="12029" width="14.875" style="13" customWidth="1"/>
    <col min="12030" max="12030" width="15.625" style="13" bestFit="1" customWidth="1"/>
    <col min="12031" max="12031" width="15" style="13" customWidth="1"/>
    <col min="12032" max="12032" width="15.625" style="13" bestFit="1" customWidth="1"/>
    <col min="12033" max="12033" width="15.875" style="13" customWidth="1"/>
    <col min="12034" max="12034" width="16.25" style="13" customWidth="1"/>
    <col min="12035" max="12035" width="16.75" style="13" customWidth="1"/>
    <col min="12036" max="12036" width="14.875" style="13" customWidth="1"/>
    <col min="12037" max="12037" width="19.625" style="13" bestFit="1" customWidth="1"/>
    <col min="12038" max="12038" width="21.875" style="13" customWidth="1"/>
    <col min="12039" max="12275" width="11" style="13"/>
    <col min="12276" max="12276" width="51" style="13" customWidth="1"/>
    <col min="12277" max="12277" width="19" style="13" customWidth="1"/>
    <col min="12278" max="12278" width="15.375" style="13" customWidth="1"/>
    <col min="12279" max="12279" width="14.5" style="13" customWidth="1"/>
    <col min="12280" max="12280" width="19.75" style="13" customWidth="1"/>
    <col min="12281" max="12281" width="20.5" style="13" customWidth="1"/>
    <col min="12282" max="12282" width="15.25" style="13" customWidth="1"/>
    <col min="12283" max="12283" width="15.625" style="13" customWidth="1"/>
    <col min="12284" max="12284" width="15.625" style="13" bestFit="1" customWidth="1"/>
    <col min="12285" max="12285" width="14.875" style="13" customWidth="1"/>
    <col min="12286" max="12286" width="15.625" style="13" bestFit="1" customWidth="1"/>
    <col min="12287" max="12287" width="15" style="13" customWidth="1"/>
    <col min="12288" max="12288" width="15.625" style="13" bestFit="1" customWidth="1"/>
    <col min="12289" max="12289" width="15.875" style="13" customWidth="1"/>
    <col min="12290" max="12290" width="16.25" style="13" customWidth="1"/>
    <col min="12291" max="12291" width="16.75" style="13" customWidth="1"/>
    <col min="12292" max="12292" width="14.875" style="13" customWidth="1"/>
    <col min="12293" max="12293" width="19.625" style="13" bestFit="1" customWidth="1"/>
    <col min="12294" max="12294" width="21.875" style="13" customWidth="1"/>
    <col min="12295" max="12531" width="11" style="13"/>
    <col min="12532" max="12532" width="51" style="13" customWidth="1"/>
    <col min="12533" max="12533" width="19" style="13" customWidth="1"/>
    <col min="12534" max="12534" width="15.375" style="13" customWidth="1"/>
    <col min="12535" max="12535" width="14.5" style="13" customWidth="1"/>
    <col min="12536" max="12536" width="19.75" style="13" customWidth="1"/>
    <col min="12537" max="12537" width="20.5" style="13" customWidth="1"/>
    <col min="12538" max="12538" width="15.25" style="13" customWidth="1"/>
    <col min="12539" max="12539" width="15.625" style="13" customWidth="1"/>
    <col min="12540" max="12540" width="15.625" style="13" bestFit="1" customWidth="1"/>
    <col min="12541" max="12541" width="14.875" style="13" customWidth="1"/>
    <col min="12542" max="12542" width="15.625" style="13" bestFit="1" customWidth="1"/>
    <col min="12543" max="12543" width="15" style="13" customWidth="1"/>
    <col min="12544" max="12544" width="15.625" style="13" bestFit="1" customWidth="1"/>
    <col min="12545" max="12545" width="15.875" style="13" customWidth="1"/>
    <col min="12546" max="12546" width="16.25" style="13" customWidth="1"/>
    <col min="12547" max="12547" width="16.75" style="13" customWidth="1"/>
    <col min="12548" max="12548" width="14.875" style="13" customWidth="1"/>
    <col min="12549" max="12549" width="19.625" style="13" bestFit="1" customWidth="1"/>
    <col min="12550" max="12550" width="21.875" style="13" customWidth="1"/>
    <col min="12551" max="12787" width="11" style="13"/>
    <col min="12788" max="12788" width="51" style="13" customWidth="1"/>
    <col min="12789" max="12789" width="19" style="13" customWidth="1"/>
    <col min="12790" max="12790" width="15.375" style="13" customWidth="1"/>
    <col min="12791" max="12791" width="14.5" style="13" customWidth="1"/>
    <col min="12792" max="12792" width="19.75" style="13" customWidth="1"/>
    <col min="12793" max="12793" width="20.5" style="13" customWidth="1"/>
    <col min="12794" max="12794" width="15.25" style="13" customWidth="1"/>
    <col min="12795" max="12795" width="15.625" style="13" customWidth="1"/>
    <col min="12796" max="12796" width="15.625" style="13" bestFit="1" customWidth="1"/>
    <col min="12797" max="12797" width="14.875" style="13" customWidth="1"/>
    <col min="12798" max="12798" width="15.625" style="13" bestFit="1" customWidth="1"/>
    <col min="12799" max="12799" width="15" style="13" customWidth="1"/>
    <col min="12800" max="12800" width="15.625" style="13" bestFit="1" customWidth="1"/>
    <col min="12801" max="12801" width="15.875" style="13" customWidth="1"/>
    <col min="12802" max="12802" width="16.25" style="13" customWidth="1"/>
    <col min="12803" max="12803" width="16.75" style="13" customWidth="1"/>
    <col min="12804" max="12804" width="14.875" style="13" customWidth="1"/>
    <col min="12805" max="12805" width="19.625" style="13" bestFit="1" customWidth="1"/>
    <col min="12806" max="12806" width="21.875" style="13" customWidth="1"/>
    <col min="12807" max="13043" width="11" style="13"/>
    <col min="13044" max="13044" width="51" style="13" customWidth="1"/>
    <col min="13045" max="13045" width="19" style="13" customWidth="1"/>
    <col min="13046" max="13046" width="15.375" style="13" customWidth="1"/>
    <col min="13047" max="13047" width="14.5" style="13" customWidth="1"/>
    <col min="13048" max="13048" width="19.75" style="13" customWidth="1"/>
    <col min="13049" max="13049" width="20.5" style="13" customWidth="1"/>
    <col min="13050" max="13050" width="15.25" style="13" customWidth="1"/>
    <col min="13051" max="13051" width="15.625" style="13" customWidth="1"/>
    <col min="13052" max="13052" width="15.625" style="13" bestFit="1" customWidth="1"/>
    <col min="13053" max="13053" width="14.875" style="13" customWidth="1"/>
    <col min="13054" max="13054" width="15.625" style="13" bestFit="1" customWidth="1"/>
    <col min="13055" max="13055" width="15" style="13" customWidth="1"/>
    <col min="13056" max="13056" width="15.625" style="13" bestFit="1" customWidth="1"/>
    <col min="13057" max="13057" width="15.875" style="13" customWidth="1"/>
    <col min="13058" max="13058" width="16.25" style="13" customWidth="1"/>
    <col min="13059" max="13059" width="16.75" style="13" customWidth="1"/>
    <col min="13060" max="13060" width="14.875" style="13" customWidth="1"/>
    <col min="13061" max="13061" width="19.625" style="13" bestFit="1" customWidth="1"/>
    <col min="13062" max="13062" width="21.875" style="13" customWidth="1"/>
    <col min="13063" max="13299" width="11" style="13"/>
    <col min="13300" max="13300" width="51" style="13" customWidth="1"/>
    <col min="13301" max="13301" width="19" style="13" customWidth="1"/>
    <col min="13302" max="13302" width="15.375" style="13" customWidth="1"/>
    <col min="13303" max="13303" width="14.5" style="13" customWidth="1"/>
    <col min="13304" max="13304" width="19.75" style="13" customWidth="1"/>
    <col min="13305" max="13305" width="20.5" style="13" customWidth="1"/>
    <col min="13306" max="13306" width="15.25" style="13" customWidth="1"/>
    <col min="13307" max="13307" width="15.625" style="13" customWidth="1"/>
    <col min="13308" max="13308" width="15.625" style="13" bestFit="1" customWidth="1"/>
    <col min="13309" max="13309" width="14.875" style="13" customWidth="1"/>
    <col min="13310" max="13310" width="15.625" style="13" bestFit="1" customWidth="1"/>
    <col min="13311" max="13311" width="15" style="13" customWidth="1"/>
    <col min="13312" max="13312" width="15.625" style="13" bestFit="1" customWidth="1"/>
    <col min="13313" max="13313" width="15.875" style="13" customWidth="1"/>
    <col min="13314" max="13314" width="16.25" style="13" customWidth="1"/>
    <col min="13315" max="13315" width="16.75" style="13" customWidth="1"/>
    <col min="13316" max="13316" width="14.875" style="13" customWidth="1"/>
    <col min="13317" max="13317" width="19.625" style="13" bestFit="1" customWidth="1"/>
    <col min="13318" max="13318" width="21.875" style="13" customWidth="1"/>
    <col min="13319" max="13555" width="11" style="13"/>
    <col min="13556" max="13556" width="51" style="13" customWidth="1"/>
    <col min="13557" max="13557" width="19" style="13" customWidth="1"/>
    <col min="13558" max="13558" width="15.375" style="13" customWidth="1"/>
    <col min="13559" max="13559" width="14.5" style="13" customWidth="1"/>
    <col min="13560" max="13560" width="19.75" style="13" customWidth="1"/>
    <col min="13561" max="13561" width="20.5" style="13" customWidth="1"/>
    <col min="13562" max="13562" width="15.25" style="13" customWidth="1"/>
    <col min="13563" max="13563" width="15.625" style="13" customWidth="1"/>
    <col min="13564" max="13564" width="15.625" style="13" bestFit="1" customWidth="1"/>
    <col min="13565" max="13565" width="14.875" style="13" customWidth="1"/>
    <col min="13566" max="13566" width="15.625" style="13" bestFit="1" customWidth="1"/>
    <col min="13567" max="13567" width="15" style="13" customWidth="1"/>
    <col min="13568" max="13568" width="15.625" style="13" bestFit="1" customWidth="1"/>
    <col min="13569" max="13569" width="15.875" style="13" customWidth="1"/>
    <col min="13570" max="13570" width="16.25" style="13" customWidth="1"/>
    <col min="13571" max="13571" width="16.75" style="13" customWidth="1"/>
    <col min="13572" max="13572" width="14.875" style="13" customWidth="1"/>
    <col min="13573" max="13573" width="19.625" style="13" bestFit="1" customWidth="1"/>
    <col min="13574" max="13574" width="21.875" style="13" customWidth="1"/>
    <col min="13575" max="13811" width="11" style="13"/>
    <col min="13812" max="13812" width="51" style="13" customWidth="1"/>
    <col min="13813" max="13813" width="19" style="13" customWidth="1"/>
    <col min="13814" max="13814" width="15.375" style="13" customWidth="1"/>
    <col min="13815" max="13815" width="14.5" style="13" customWidth="1"/>
    <col min="13816" max="13816" width="19.75" style="13" customWidth="1"/>
    <col min="13817" max="13817" width="20.5" style="13" customWidth="1"/>
    <col min="13818" max="13818" width="15.25" style="13" customWidth="1"/>
    <col min="13819" max="13819" width="15.625" style="13" customWidth="1"/>
    <col min="13820" max="13820" width="15.625" style="13" bestFit="1" customWidth="1"/>
    <col min="13821" max="13821" width="14.875" style="13" customWidth="1"/>
    <col min="13822" max="13822" width="15.625" style="13" bestFit="1" customWidth="1"/>
    <col min="13823" max="13823" width="15" style="13" customWidth="1"/>
    <col min="13824" max="13824" width="15.625" style="13" bestFit="1" customWidth="1"/>
    <col min="13825" max="13825" width="15.875" style="13" customWidth="1"/>
    <col min="13826" max="13826" width="16.25" style="13" customWidth="1"/>
    <col min="13827" max="13827" width="16.75" style="13" customWidth="1"/>
    <col min="13828" max="13828" width="14.875" style="13" customWidth="1"/>
    <col min="13829" max="13829" width="19.625" style="13" bestFit="1" customWidth="1"/>
    <col min="13830" max="13830" width="21.875" style="13" customWidth="1"/>
    <col min="13831" max="14067" width="11" style="13"/>
    <col min="14068" max="14068" width="51" style="13" customWidth="1"/>
    <col min="14069" max="14069" width="19" style="13" customWidth="1"/>
    <col min="14070" max="14070" width="15.375" style="13" customWidth="1"/>
    <col min="14071" max="14071" width="14.5" style="13" customWidth="1"/>
    <col min="14072" max="14072" width="19.75" style="13" customWidth="1"/>
    <col min="14073" max="14073" width="20.5" style="13" customWidth="1"/>
    <col min="14074" max="14074" width="15.25" style="13" customWidth="1"/>
    <col min="14075" max="14075" width="15.625" style="13" customWidth="1"/>
    <col min="14076" max="14076" width="15.625" style="13" bestFit="1" customWidth="1"/>
    <col min="14077" max="14077" width="14.875" style="13" customWidth="1"/>
    <col min="14078" max="14078" width="15.625" style="13" bestFit="1" customWidth="1"/>
    <col min="14079" max="14079" width="15" style="13" customWidth="1"/>
    <col min="14080" max="14080" width="15.625" style="13" bestFit="1" customWidth="1"/>
    <col min="14081" max="14081" width="15.875" style="13" customWidth="1"/>
    <col min="14082" max="14082" width="16.25" style="13" customWidth="1"/>
    <col min="14083" max="14083" width="16.75" style="13" customWidth="1"/>
    <col min="14084" max="14084" width="14.875" style="13" customWidth="1"/>
    <col min="14085" max="14085" width="19.625" style="13" bestFit="1" customWidth="1"/>
    <col min="14086" max="14086" width="21.875" style="13" customWidth="1"/>
    <col min="14087" max="14323" width="11" style="13"/>
    <col min="14324" max="14324" width="51" style="13" customWidth="1"/>
    <col min="14325" max="14325" width="19" style="13" customWidth="1"/>
    <col min="14326" max="14326" width="15.375" style="13" customWidth="1"/>
    <col min="14327" max="14327" width="14.5" style="13" customWidth="1"/>
    <col min="14328" max="14328" width="19.75" style="13" customWidth="1"/>
    <col min="14329" max="14329" width="20.5" style="13" customWidth="1"/>
    <col min="14330" max="14330" width="15.25" style="13" customWidth="1"/>
    <col min="14331" max="14331" width="15.625" style="13" customWidth="1"/>
    <col min="14332" max="14332" width="15.625" style="13" bestFit="1" customWidth="1"/>
    <col min="14333" max="14333" width="14.875" style="13" customWidth="1"/>
    <col min="14334" max="14334" width="15.625" style="13" bestFit="1" customWidth="1"/>
    <col min="14335" max="14335" width="15" style="13" customWidth="1"/>
    <col min="14336" max="14336" width="15.625" style="13" bestFit="1" customWidth="1"/>
    <col min="14337" max="14337" width="15.875" style="13" customWidth="1"/>
    <col min="14338" max="14338" width="16.25" style="13" customWidth="1"/>
    <col min="14339" max="14339" width="16.75" style="13" customWidth="1"/>
    <col min="14340" max="14340" width="14.875" style="13" customWidth="1"/>
    <col min="14341" max="14341" width="19.625" style="13" bestFit="1" customWidth="1"/>
    <col min="14342" max="14342" width="21.875" style="13" customWidth="1"/>
    <col min="14343" max="14579" width="11" style="13"/>
    <col min="14580" max="14580" width="51" style="13" customWidth="1"/>
    <col min="14581" max="14581" width="19" style="13" customWidth="1"/>
    <col min="14582" max="14582" width="15.375" style="13" customWidth="1"/>
    <col min="14583" max="14583" width="14.5" style="13" customWidth="1"/>
    <col min="14584" max="14584" width="19.75" style="13" customWidth="1"/>
    <col min="14585" max="14585" width="20.5" style="13" customWidth="1"/>
    <col min="14586" max="14586" width="15.25" style="13" customWidth="1"/>
    <col min="14587" max="14587" width="15.625" style="13" customWidth="1"/>
    <col min="14588" max="14588" width="15.625" style="13" bestFit="1" customWidth="1"/>
    <col min="14589" max="14589" width="14.875" style="13" customWidth="1"/>
    <col min="14590" max="14590" width="15.625" style="13" bestFit="1" customWidth="1"/>
    <col min="14591" max="14591" width="15" style="13" customWidth="1"/>
    <col min="14592" max="14592" width="15.625" style="13" bestFit="1" customWidth="1"/>
    <col min="14593" max="14593" width="15.875" style="13" customWidth="1"/>
    <col min="14594" max="14594" width="16.25" style="13" customWidth="1"/>
    <col min="14595" max="14595" width="16.75" style="13" customWidth="1"/>
    <col min="14596" max="14596" width="14.875" style="13" customWidth="1"/>
    <col min="14597" max="14597" width="19.625" style="13" bestFit="1" customWidth="1"/>
    <col min="14598" max="14598" width="21.875" style="13" customWidth="1"/>
    <col min="14599" max="14835" width="11" style="13"/>
    <col min="14836" max="14836" width="51" style="13" customWidth="1"/>
    <col min="14837" max="14837" width="19" style="13" customWidth="1"/>
    <col min="14838" max="14838" width="15.375" style="13" customWidth="1"/>
    <col min="14839" max="14839" width="14.5" style="13" customWidth="1"/>
    <col min="14840" max="14840" width="19.75" style="13" customWidth="1"/>
    <col min="14841" max="14841" width="20.5" style="13" customWidth="1"/>
    <col min="14842" max="14842" width="15.25" style="13" customWidth="1"/>
    <col min="14843" max="14843" width="15.625" style="13" customWidth="1"/>
    <col min="14844" max="14844" width="15.625" style="13" bestFit="1" customWidth="1"/>
    <col min="14845" max="14845" width="14.875" style="13" customWidth="1"/>
    <col min="14846" max="14846" width="15.625" style="13" bestFit="1" customWidth="1"/>
    <col min="14847" max="14847" width="15" style="13" customWidth="1"/>
    <col min="14848" max="14848" width="15.625" style="13" bestFit="1" customWidth="1"/>
    <col min="14849" max="14849" width="15.875" style="13" customWidth="1"/>
    <col min="14850" max="14850" width="16.25" style="13" customWidth="1"/>
    <col min="14851" max="14851" width="16.75" style="13" customWidth="1"/>
    <col min="14852" max="14852" width="14.875" style="13" customWidth="1"/>
    <col min="14853" max="14853" width="19.625" style="13" bestFit="1" customWidth="1"/>
    <col min="14854" max="14854" width="21.875" style="13" customWidth="1"/>
    <col min="14855" max="15091" width="11" style="13"/>
    <col min="15092" max="15092" width="51" style="13" customWidth="1"/>
    <col min="15093" max="15093" width="19" style="13" customWidth="1"/>
    <col min="15094" max="15094" width="15.375" style="13" customWidth="1"/>
    <col min="15095" max="15095" width="14.5" style="13" customWidth="1"/>
    <col min="15096" max="15096" width="19.75" style="13" customWidth="1"/>
    <col min="15097" max="15097" width="20.5" style="13" customWidth="1"/>
    <col min="15098" max="15098" width="15.25" style="13" customWidth="1"/>
    <col min="15099" max="15099" width="15.625" style="13" customWidth="1"/>
    <col min="15100" max="15100" width="15.625" style="13" bestFit="1" customWidth="1"/>
    <col min="15101" max="15101" width="14.875" style="13" customWidth="1"/>
    <col min="15102" max="15102" width="15.625" style="13" bestFit="1" customWidth="1"/>
    <col min="15103" max="15103" width="15" style="13" customWidth="1"/>
    <col min="15104" max="15104" width="15.625" style="13" bestFit="1" customWidth="1"/>
    <col min="15105" max="15105" width="15.875" style="13" customWidth="1"/>
    <col min="15106" max="15106" width="16.25" style="13" customWidth="1"/>
    <col min="15107" max="15107" width="16.75" style="13" customWidth="1"/>
    <col min="15108" max="15108" width="14.875" style="13" customWidth="1"/>
    <col min="15109" max="15109" width="19.625" style="13" bestFit="1" customWidth="1"/>
    <col min="15110" max="15110" width="21.875" style="13" customWidth="1"/>
    <col min="15111" max="15347" width="11" style="13"/>
    <col min="15348" max="15348" width="51" style="13" customWidth="1"/>
    <col min="15349" max="15349" width="19" style="13" customWidth="1"/>
    <col min="15350" max="15350" width="15.375" style="13" customWidth="1"/>
    <col min="15351" max="15351" width="14.5" style="13" customWidth="1"/>
    <col min="15352" max="15352" width="19.75" style="13" customWidth="1"/>
    <col min="15353" max="15353" width="20.5" style="13" customWidth="1"/>
    <col min="15354" max="15354" width="15.25" style="13" customWidth="1"/>
    <col min="15355" max="15355" width="15.625" style="13" customWidth="1"/>
    <col min="15356" max="15356" width="15.625" style="13" bestFit="1" customWidth="1"/>
    <col min="15357" max="15357" width="14.875" style="13" customWidth="1"/>
    <col min="15358" max="15358" width="15.625" style="13" bestFit="1" customWidth="1"/>
    <col min="15359" max="15359" width="15" style="13" customWidth="1"/>
    <col min="15360" max="15360" width="15.625" style="13" bestFit="1" customWidth="1"/>
    <col min="15361" max="15361" width="15.875" style="13" customWidth="1"/>
    <col min="15362" max="15362" width="16.25" style="13" customWidth="1"/>
    <col min="15363" max="15363" width="16.75" style="13" customWidth="1"/>
    <col min="15364" max="15364" width="14.875" style="13" customWidth="1"/>
    <col min="15365" max="15365" width="19.625" style="13" bestFit="1" customWidth="1"/>
    <col min="15366" max="15366" width="21.875" style="13" customWidth="1"/>
    <col min="15367" max="15603" width="11" style="13"/>
    <col min="15604" max="15604" width="51" style="13" customWidth="1"/>
    <col min="15605" max="15605" width="19" style="13" customWidth="1"/>
    <col min="15606" max="15606" width="15.375" style="13" customWidth="1"/>
    <col min="15607" max="15607" width="14.5" style="13" customWidth="1"/>
    <col min="15608" max="15608" width="19.75" style="13" customWidth="1"/>
    <col min="15609" max="15609" width="20.5" style="13" customWidth="1"/>
    <col min="15610" max="15610" width="15.25" style="13" customWidth="1"/>
    <col min="15611" max="15611" width="15.625" style="13" customWidth="1"/>
    <col min="15612" max="15612" width="15.625" style="13" bestFit="1" customWidth="1"/>
    <col min="15613" max="15613" width="14.875" style="13" customWidth="1"/>
    <col min="15614" max="15614" width="15.625" style="13" bestFit="1" customWidth="1"/>
    <col min="15615" max="15615" width="15" style="13" customWidth="1"/>
    <col min="15616" max="15616" width="15.625" style="13" bestFit="1" customWidth="1"/>
    <col min="15617" max="15617" width="15.875" style="13" customWidth="1"/>
    <col min="15618" max="15618" width="16.25" style="13" customWidth="1"/>
    <col min="15619" max="15619" width="16.75" style="13" customWidth="1"/>
    <col min="15620" max="15620" width="14.875" style="13" customWidth="1"/>
    <col min="15621" max="15621" width="19.625" style="13" bestFit="1" customWidth="1"/>
    <col min="15622" max="15622" width="21.875" style="13" customWidth="1"/>
    <col min="15623" max="15859" width="11" style="13"/>
    <col min="15860" max="15860" width="51" style="13" customWidth="1"/>
    <col min="15861" max="15861" width="19" style="13" customWidth="1"/>
    <col min="15862" max="15862" width="15.375" style="13" customWidth="1"/>
    <col min="15863" max="15863" width="14.5" style="13" customWidth="1"/>
    <col min="15864" max="15864" width="19.75" style="13" customWidth="1"/>
    <col min="15865" max="15865" width="20.5" style="13" customWidth="1"/>
    <col min="15866" max="15866" width="15.25" style="13" customWidth="1"/>
    <col min="15867" max="15867" width="15.625" style="13" customWidth="1"/>
    <col min="15868" max="15868" width="15.625" style="13" bestFit="1" customWidth="1"/>
    <col min="15869" max="15869" width="14.875" style="13" customWidth="1"/>
    <col min="15870" max="15870" width="15.625" style="13" bestFit="1" customWidth="1"/>
    <col min="15871" max="15871" width="15" style="13" customWidth="1"/>
    <col min="15872" max="15872" width="15.625" style="13" bestFit="1" customWidth="1"/>
    <col min="15873" max="15873" width="15.875" style="13" customWidth="1"/>
    <col min="15874" max="15874" width="16.25" style="13" customWidth="1"/>
    <col min="15875" max="15875" width="16.75" style="13" customWidth="1"/>
    <col min="15876" max="15876" width="14.875" style="13" customWidth="1"/>
    <col min="15877" max="15877" width="19.625" style="13" bestFit="1" customWidth="1"/>
    <col min="15878" max="15878" width="21.875" style="13" customWidth="1"/>
    <col min="15879" max="16115" width="11" style="13"/>
    <col min="16116" max="16116" width="51" style="13" customWidth="1"/>
    <col min="16117" max="16117" width="19" style="13" customWidth="1"/>
    <col min="16118" max="16118" width="15.375" style="13" customWidth="1"/>
    <col min="16119" max="16119" width="14.5" style="13" customWidth="1"/>
    <col min="16120" max="16120" width="19.75" style="13" customWidth="1"/>
    <col min="16121" max="16121" width="20.5" style="13" customWidth="1"/>
    <col min="16122" max="16122" width="15.25" style="13" customWidth="1"/>
    <col min="16123" max="16123" width="15.625" style="13" customWidth="1"/>
    <col min="16124" max="16124" width="15.625" style="13" bestFit="1" customWidth="1"/>
    <col min="16125" max="16125" width="14.875" style="13" customWidth="1"/>
    <col min="16126" max="16126" width="15.625" style="13" bestFit="1" customWidth="1"/>
    <col min="16127" max="16127" width="15" style="13" customWidth="1"/>
    <col min="16128" max="16128" width="15.625" style="13" bestFit="1" customWidth="1"/>
    <col min="16129" max="16129" width="15.875" style="13" customWidth="1"/>
    <col min="16130" max="16130" width="16.25" style="13" customWidth="1"/>
    <col min="16131" max="16131" width="16.75" style="13" customWidth="1"/>
    <col min="16132" max="16132" width="14.875" style="13" customWidth="1"/>
    <col min="16133" max="16133" width="19.625" style="13" bestFit="1" customWidth="1"/>
    <col min="16134" max="16134" width="21.875" style="13" customWidth="1"/>
    <col min="16135" max="16384" width="11" style="13"/>
  </cols>
  <sheetData>
    <row r="1" spans="2:16" s="115" customFormat="1" ht="36.75" customHeight="1" x14ac:dyDescent="0.25">
      <c r="B1" s="471"/>
      <c r="C1" s="127"/>
      <c r="D1" s="128" t="s">
        <v>1</v>
      </c>
      <c r="E1" s="129" t="s">
        <v>145</v>
      </c>
      <c r="F1" s="129" t="s">
        <v>101</v>
      </c>
      <c r="G1" s="129" t="s">
        <v>2</v>
      </c>
      <c r="H1" s="129" t="s">
        <v>147</v>
      </c>
      <c r="I1" s="129" t="s">
        <v>146</v>
      </c>
      <c r="J1" s="222" t="s">
        <v>150</v>
      </c>
      <c r="K1" s="140" t="s">
        <v>143</v>
      </c>
      <c r="L1" s="326" t="s">
        <v>151</v>
      </c>
    </row>
    <row r="2" spans="2:16" s="115" customFormat="1" ht="36.75" customHeight="1" x14ac:dyDescent="0.25">
      <c r="B2" s="472"/>
      <c r="C2" s="327"/>
      <c r="D2" s="328"/>
      <c r="E2" s="329"/>
      <c r="F2" s="329"/>
      <c r="G2" s="329"/>
      <c r="H2" s="329"/>
      <c r="I2" s="329"/>
      <c r="J2" s="330"/>
      <c r="K2" s="331"/>
      <c r="L2" s="326"/>
    </row>
    <row r="3" spans="2:16" ht="36.75" customHeight="1" x14ac:dyDescent="0.2">
      <c r="B3" s="473" t="s">
        <v>144</v>
      </c>
      <c r="C3" s="132" t="s">
        <v>4</v>
      </c>
      <c r="D3" s="332" t="s">
        <v>5</v>
      </c>
      <c r="E3" s="333">
        <f>E4+E33+E49+E68+E86+E109+E131+E171</f>
        <v>699585000</v>
      </c>
      <c r="F3" s="333">
        <f>F4+F33+F49+F68+F86+F109+F131+F171</f>
        <v>155847307</v>
      </c>
      <c r="G3" s="333">
        <f>G4+G33+G49+G68+G86+G109+G131+G171</f>
        <v>0</v>
      </c>
      <c r="H3" s="333">
        <f>H4+H33+H49+H68+H86+H109+H131+H171</f>
        <v>86991200</v>
      </c>
      <c r="I3" s="333">
        <f>ROUND((E3+F3+G3-H3),0)</f>
        <v>768441107</v>
      </c>
      <c r="J3" s="333">
        <f>J4+J33+J49+J68+J86+J109+J131+J171</f>
        <v>345082589.86666667</v>
      </c>
      <c r="K3" s="333">
        <f>I3-J3</f>
        <v>423358517.13333333</v>
      </c>
      <c r="L3" s="334"/>
    </row>
    <row r="4" spans="2:16" ht="15.75" x14ac:dyDescent="0.25">
      <c r="B4" s="474"/>
      <c r="C4" s="119">
        <v>2020110101</v>
      </c>
      <c r="D4" s="120" t="s">
        <v>7</v>
      </c>
      <c r="E4" s="121">
        <f>'PROYECCION 2021'!C12</f>
        <v>536000000</v>
      </c>
      <c r="F4" s="122">
        <f>SUM(F5:F30)</f>
        <v>155847307</v>
      </c>
      <c r="G4" s="122">
        <f>SUM(G5:G17)</f>
        <v>0</v>
      </c>
      <c r="H4" s="122">
        <f>SUM(H5:H30)</f>
        <v>86991200</v>
      </c>
      <c r="I4" s="123">
        <f>ROUND((E4+F4+G4-H4),1)</f>
        <v>604856107</v>
      </c>
      <c r="J4" s="223">
        <f>SUM(J5:J30)</f>
        <v>298951419</v>
      </c>
      <c r="K4" s="141">
        <f>I4-J4</f>
        <v>305904688</v>
      </c>
      <c r="L4" s="145">
        <f>K4</f>
        <v>305904688</v>
      </c>
    </row>
    <row r="5" spans="2:16" x14ac:dyDescent="0.2">
      <c r="B5" s="475">
        <v>44224</v>
      </c>
      <c r="C5" s="335"/>
      <c r="D5" s="146" t="s">
        <v>193</v>
      </c>
      <c r="E5" s="336"/>
      <c r="F5" s="337"/>
      <c r="G5" s="338"/>
      <c r="H5" s="339"/>
      <c r="I5" s="340"/>
      <c r="J5" s="345">
        <f>28613579-3384863</f>
        <v>25228716</v>
      </c>
      <c r="K5" s="342"/>
      <c r="L5" s="334"/>
    </row>
    <row r="6" spans="2:16" ht="15.75" x14ac:dyDescent="0.25">
      <c r="B6" s="476">
        <v>44236</v>
      </c>
      <c r="C6" s="343"/>
      <c r="D6" s="344" t="s">
        <v>208</v>
      </c>
      <c r="E6" s="334"/>
      <c r="F6" s="337"/>
      <c r="G6" s="338"/>
      <c r="H6" s="339">
        <v>3000000</v>
      </c>
      <c r="I6" s="146"/>
      <c r="J6" s="345"/>
      <c r="K6" s="346"/>
      <c r="L6" s="347"/>
    </row>
    <row r="7" spans="2:16" ht="14.25" customHeight="1" x14ac:dyDescent="0.2">
      <c r="B7" s="475">
        <v>43525</v>
      </c>
      <c r="C7" s="335"/>
      <c r="D7" s="146" t="s">
        <v>249</v>
      </c>
      <c r="E7" s="336"/>
      <c r="F7" s="337"/>
      <c r="G7" s="338"/>
      <c r="H7" s="339"/>
      <c r="I7" s="348"/>
      <c r="J7" s="362">
        <f>42727444-2595062</f>
        <v>40132382</v>
      </c>
      <c r="K7" s="349"/>
      <c r="L7" s="146"/>
      <c r="N7" s="13" t="s">
        <v>311</v>
      </c>
      <c r="P7" s="13" t="s">
        <v>316</v>
      </c>
    </row>
    <row r="8" spans="2:16" x14ac:dyDescent="0.2">
      <c r="B8" s="475">
        <v>44260</v>
      </c>
      <c r="C8" s="335"/>
      <c r="D8" s="146" t="s">
        <v>252</v>
      </c>
      <c r="E8" s="336"/>
      <c r="F8" s="337"/>
      <c r="G8" s="338"/>
      <c r="H8" s="339">
        <v>10000000</v>
      </c>
      <c r="I8" s="348"/>
      <c r="J8" s="345"/>
      <c r="K8" s="349"/>
      <c r="L8" s="146"/>
      <c r="N8" s="599">
        <v>622524</v>
      </c>
      <c r="O8" s="109" t="s">
        <v>288</v>
      </c>
      <c r="P8" s="621">
        <v>645120</v>
      </c>
    </row>
    <row r="9" spans="2:16" x14ac:dyDescent="0.2">
      <c r="B9" s="597">
        <v>44281</v>
      </c>
      <c r="C9" s="357"/>
      <c r="D9" s="598" t="s">
        <v>267</v>
      </c>
      <c r="E9" s="336"/>
      <c r="F9" s="337"/>
      <c r="G9" s="338"/>
      <c r="H9" s="339"/>
      <c r="I9" s="348"/>
      <c r="J9" s="362">
        <f>46157543</f>
        <v>46157543</v>
      </c>
      <c r="K9" s="349"/>
      <c r="L9" s="146"/>
      <c r="N9" s="599">
        <v>465670</v>
      </c>
      <c r="O9" s="109" t="s">
        <v>289</v>
      </c>
      <c r="P9" s="626">
        <f>P8-N8</f>
        <v>22596</v>
      </c>
    </row>
    <row r="10" spans="2:16" x14ac:dyDescent="0.2">
      <c r="B10" s="597">
        <v>44299</v>
      </c>
      <c r="C10" s="357"/>
      <c r="D10" s="598" t="s">
        <v>272</v>
      </c>
      <c r="E10" s="336"/>
      <c r="F10" s="337"/>
      <c r="G10" s="338"/>
      <c r="H10" s="339">
        <v>53300000</v>
      </c>
      <c r="I10" s="348"/>
      <c r="J10" s="345"/>
      <c r="K10" s="349"/>
      <c r="L10" s="146"/>
      <c r="N10" s="613">
        <f>SUM(N8:N9)</f>
        <v>1088194</v>
      </c>
      <c r="O10" s="617" t="s">
        <v>196</v>
      </c>
    </row>
    <row r="11" spans="2:16" x14ac:dyDescent="0.2">
      <c r="B11" s="597">
        <v>44312</v>
      </c>
      <c r="C11" s="357"/>
      <c r="D11" s="598" t="s">
        <v>281</v>
      </c>
      <c r="E11" s="336"/>
      <c r="F11" s="337"/>
      <c r="G11" s="338"/>
      <c r="H11" s="339"/>
      <c r="I11" s="348"/>
      <c r="J11" s="362">
        <v>47900495</v>
      </c>
      <c r="K11" s="349"/>
      <c r="L11" s="146"/>
      <c r="N11" s="312"/>
    </row>
    <row r="12" spans="2:16" x14ac:dyDescent="0.2">
      <c r="B12" s="610">
        <v>44312</v>
      </c>
      <c r="C12" s="357"/>
      <c r="D12" s="611" t="s">
        <v>285</v>
      </c>
      <c r="E12" s="336"/>
      <c r="F12" s="337"/>
      <c r="G12" s="338"/>
      <c r="H12" s="339"/>
      <c r="I12" s="348"/>
      <c r="J12" s="612">
        <v>-1088194</v>
      </c>
      <c r="K12" s="349"/>
      <c r="L12" s="146"/>
      <c r="N12" s="312"/>
    </row>
    <row r="13" spans="2:16" x14ac:dyDescent="0.2">
      <c r="B13" s="610">
        <v>44312</v>
      </c>
      <c r="C13" s="335"/>
      <c r="D13" s="611" t="s">
        <v>284</v>
      </c>
      <c r="E13" s="336"/>
      <c r="F13" s="337"/>
      <c r="G13" s="338"/>
      <c r="H13" s="339"/>
      <c r="I13" s="348"/>
      <c r="J13" s="612">
        <v>-283071</v>
      </c>
      <c r="K13" s="349"/>
      <c r="L13" s="146"/>
      <c r="N13" s="312"/>
    </row>
    <row r="14" spans="2:16" x14ac:dyDescent="0.2">
      <c r="B14" s="475">
        <v>44319</v>
      </c>
      <c r="C14" s="335"/>
      <c r="D14" s="146" t="s">
        <v>294</v>
      </c>
      <c r="E14" s="336"/>
      <c r="F14" s="337">
        <v>155847307</v>
      </c>
      <c r="G14" s="338"/>
      <c r="H14" s="339"/>
      <c r="I14" s="348"/>
      <c r="J14" s="345"/>
      <c r="K14" s="349"/>
      <c r="L14" s="146"/>
      <c r="N14" s="312"/>
    </row>
    <row r="15" spans="2:16" x14ac:dyDescent="0.2">
      <c r="B15" s="597">
        <v>44341</v>
      </c>
      <c r="C15" s="357"/>
      <c r="D15" s="623" t="s">
        <v>299</v>
      </c>
      <c r="E15" s="336"/>
      <c r="F15" s="337"/>
      <c r="G15" s="338"/>
      <c r="H15" s="339"/>
      <c r="I15" s="348"/>
      <c r="J15" s="622">
        <v>46923039</v>
      </c>
      <c r="K15" s="349"/>
      <c r="L15" s="146"/>
      <c r="N15" s="312"/>
    </row>
    <row r="16" spans="2:16" x14ac:dyDescent="0.2">
      <c r="B16" s="610">
        <v>44370</v>
      </c>
      <c r="C16" s="335"/>
      <c r="D16" s="611" t="s">
        <v>310</v>
      </c>
      <c r="E16" s="336"/>
      <c r="F16" s="337"/>
      <c r="G16" s="338"/>
      <c r="H16" s="339"/>
      <c r="I16" s="348"/>
      <c r="J16" s="612">
        <v>465670</v>
      </c>
      <c r="K16" s="349"/>
      <c r="L16" s="146"/>
      <c r="N16" s="312"/>
    </row>
    <row r="17" spans="2:15" x14ac:dyDescent="0.2">
      <c r="B17" s="610">
        <v>44370</v>
      </c>
      <c r="C17" s="335"/>
      <c r="D17" s="611" t="s">
        <v>310</v>
      </c>
      <c r="E17" s="336"/>
      <c r="F17" s="337"/>
      <c r="G17" s="338"/>
      <c r="H17" s="339"/>
      <c r="I17" s="348"/>
      <c r="J17" s="612">
        <v>232905</v>
      </c>
      <c r="K17" s="349"/>
      <c r="L17" s="146"/>
      <c r="N17" s="604"/>
      <c r="O17" s="599"/>
    </row>
    <row r="18" spans="2:15" x14ac:dyDescent="0.2">
      <c r="B18" s="597">
        <v>44371</v>
      </c>
      <c r="C18" s="357"/>
      <c r="D18" s="598" t="s">
        <v>313</v>
      </c>
      <c r="E18" s="336"/>
      <c r="F18" s="337"/>
      <c r="G18" s="338"/>
      <c r="H18" s="339"/>
      <c r="I18" s="348"/>
      <c r="J18" s="362">
        <v>46923039</v>
      </c>
      <c r="K18" s="349"/>
      <c r="L18" s="146"/>
      <c r="N18" s="312"/>
      <c r="O18" s="599"/>
    </row>
    <row r="19" spans="2:15" x14ac:dyDescent="0.2">
      <c r="B19" s="610">
        <v>44400</v>
      </c>
      <c r="C19" s="335"/>
      <c r="D19" s="643" t="s">
        <v>322</v>
      </c>
      <c r="E19" s="336"/>
      <c r="F19" s="337"/>
      <c r="G19" s="338"/>
      <c r="H19" s="339"/>
      <c r="I19" s="348"/>
      <c r="J19" s="612">
        <v>-338486</v>
      </c>
      <c r="K19" s="349"/>
      <c r="L19" s="351"/>
      <c r="N19" s="312"/>
      <c r="O19" s="630"/>
    </row>
    <row r="20" spans="2:15" x14ac:dyDescent="0.2">
      <c r="B20" s="597">
        <v>44400</v>
      </c>
      <c r="C20" s="357"/>
      <c r="D20" s="358" t="s">
        <v>321</v>
      </c>
      <c r="E20" s="336"/>
      <c r="F20" s="337"/>
      <c r="G20" s="338"/>
      <c r="H20" s="339"/>
      <c r="I20" s="348"/>
      <c r="J20" s="362">
        <v>46697381</v>
      </c>
      <c r="K20" s="349"/>
      <c r="L20" s="351"/>
      <c r="N20" s="312"/>
    </row>
    <row r="21" spans="2:15" x14ac:dyDescent="0.2">
      <c r="B21" s="475">
        <v>44403</v>
      </c>
      <c r="C21" s="335"/>
      <c r="D21" s="352" t="s">
        <v>324</v>
      </c>
      <c r="E21" s="336"/>
      <c r="F21" s="337"/>
      <c r="G21" s="338"/>
      <c r="H21" s="339">
        <v>20691200</v>
      </c>
      <c r="I21" s="348"/>
      <c r="J21" s="345"/>
      <c r="K21" s="349"/>
      <c r="L21" s="351"/>
      <c r="N21" s="312"/>
    </row>
    <row r="22" spans="2:15" x14ac:dyDescent="0.2">
      <c r="B22" s="475"/>
      <c r="C22" s="335"/>
      <c r="D22" s="352"/>
      <c r="E22" s="353"/>
      <c r="F22" s="337"/>
      <c r="G22" s="338"/>
      <c r="H22" s="339"/>
      <c r="I22" s="348"/>
      <c r="J22" s="345"/>
      <c r="K22" s="349"/>
      <c r="L22" s="351"/>
      <c r="N22" s="312"/>
    </row>
    <row r="23" spans="2:15" x14ac:dyDescent="0.2">
      <c r="B23" s="477"/>
      <c r="C23" s="335"/>
      <c r="D23" s="352"/>
      <c r="E23" s="336"/>
      <c r="F23" s="337"/>
      <c r="G23" s="338"/>
      <c r="H23" s="339"/>
      <c r="I23" s="348"/>
      <c r="J23" s="345"/>
      <c r="K23" s="349"/>
      <c r="L23" s="351"/>
      <c r="N23" s="312"/>
    </row>
    <row r="24" spans="2:15" x14ac:dyDescent="0.2">
      <c r="B24" s="477"/>
      <c r="C24" s="335"/>
      <c r="D24" s="352"/>
      <c r="E24" s="336"/>
      <c r="F24" s="337"/>
      <c r="G24" s="338"/>
      <c r="H24" s="339"/>
      <c r="I24" s="348"/>
      <c r="J24" s="345"/>
      <c r="K24" s="349"/>
      <c r="L24" s="351"/>
      <c r="N24" s="312"/>
    </row>
    <row r="25" spans="2:15" x14ac:dyDescent="0.2">
      <c r="B25" s="477"/>
      <c r="C25" s="335"/>
      <c r="D25" s="352"/>
      <c r="E25" s="336"/>
      <c r="F25" s="337"/>
      <c r="G25" s="338"/>
      <c r="H25" s="339"/>
      <c r="I25" s="340"/>
      <c r="J25" s="341"/>
      <c r="K25" s="342"/>
      <c r="L25" s="354"/>
      <c r="N25" s="312"/>
    </row>
    <row r="26" spans="2:15" x14ac:dyDescent="0.2">
      <c r="B26" s="477"/>
      <c r="C26" s="335"/>
      <c r="D26" s="352"/>
      <c r="E26" s="336"/>
      <c r="F26" s="337"/>
      <c r="G26" s="338"/>
      <c r="H26" s="339"/>
      <c r="I26" s="340"/>
      <c r="J26" s="341"/>
      <c r="K26" s="342"/>
      <c r="L26" s="354"/>
      <c r="N26" s="312"/>
    </row>
    <row r="27" spans="2:15" x14ac:dyDescent="0.2">
      <c r="B27" s="477"/>
      <c r="C27" s="335"/>
      <c r="D27" s="352"/>
      <c r="E27" s="336"/>
      <c r="F27" s="337"/>
      <c r="G27" s="338"/>
      <c r="H27" s="339"/>
      <c r="I27" s="340"/>
      <c r="J27" s="355"/>
      <c r="K27" s="342"/>
      <c r="L27" s="354"/>
      <c r="N27" s="312"/>
    </row>
    <row r="28" spans="2:15" x14ac:dyDescent="0.2">
      <c r="B28" s="477"/>
      <c r="C28" s="335"/>
      <c r="D28" s="352"/>
      <c r="E28" s="353"/>
      <c r="F28" s="337"/>
      <c r="G28" s="338"/>
      <c r="H28" s="339"/>
      <c r="I28" s="340"/>
      <c r="J28" s="341"/>
      <c r="K28" s="342"/>
      <c r="L28" s="354"/>
      <c r="N28" s="312"/>
    </row>
    <row r="29" spans="2:15" x14ac:dyDescent="0.2">
      <c r="B29" s="477"/>
      <c r="C29" s="335"/>
      <c r="D29" s="352"/>
      <c r="E29" s="336"/>
      <c r="F29" s="337"/>
      <c r="G29" s="338"/>
      <c r="H29" s="339"/>
      <c r="I29" s="340"/>
      <c r="J29" s="341"/>
      <c r="K29" s="342"/>
      <c r="L29" s="334"/>
      <c r="N29" s="312"/>
    </row>
    <row r="30" spans="2:15" x14ac:dyDescent="0.2">
      <c r="B30" s="476"/>
      <c r="C30" s="343"/>
      <c r="D30" s="356"/>
      <c r="E30" s="336"/>
      <c r="F30" s="337"/>
      <c r="G30" s="338"/>
      <c r="H30" s="339"/>
      <c r="I30" s="340"/>
      <c r="J30" s="341"/>
      <c r="K30" s="342"/>
      <c r="L30" s="334"/>
      <c r="N30" s="312"/>
    </row>
    <row r="31" spans="2:15" ht="15.75" x14ac:dyDescent="0.25">
      <c r="B31" s="474"/>
      <c r="C31" s="119" t="s">
        <v>8</v>
      </c>
      <c r="D31" s="120" t="s">
        <v>9</v>
      </c>
      <c r="E31" s="121">
        <v>0</v>
      </c>
      <c r="F31" s="122"/>
      <c r="G31" s="123"/>
      <c r="H31" s="123"/>
      <c r="I31" s="123">
        <f>ROUND((E31+F31+G31-H31),1)</f>
        <v>0</v>
      </c>
      <c r="J31" s="223"/>
      <c r="K31" s="142"/>
      <c r="L31" s="334"/>
      <c r="N31" s="312"/>
    </row>
    <row r="32" spans="2:15" x14ac:dyDescent="0.2">
      <c r="B32" s="478"/>
      <c r="C32" s="357"/>
      <c r="D32" s="358"/>
      <c r="E32" s="359"/>
      <c r="F32" s="360"/>
      <c r="G32" s="361"/>
      <c r="H32" s="361"/>
      <c r="I32" s="361"/>
      <c r="J32" s="362"/>
      <c r="K32" s="363"/>
      <c r="L32" s="334"/>
      <c r="N32" s="312"/>
    </row>
    <row r="33" spans="2:14" s="125" customFormat="1" ht="15.75" x14ac:dyDescent="0.25">
      <c r="B33" s="474"/>
      <c r="C33" s="119" t="s">
        <v>10</v>
      </c>
      <c r="D33" s="120" t="s">
        <v>11</v>
      </c>
      <c r="E33" s="121">
        <f>'PROYECCION 2021'!C13</f>
        <v>1320000</v>
      </c>
      <c r="F33" s="122">
        <f>SUM(F34:F48)</f>
        <v>0</v>
      </c>
      <c r="G33" s="122">
        <f>SUM(G34:G48)</f>
        <v>0</v>
      </c>
      <c r="H33" s="122">
        <f>SUM(H34:H48)</f>
        <v>0</v>
      </c>
      <c r="I33" s="123">
        <f>ROUND((E33+F33+G33-H33),1)</f>
        <v>1320000</v>
      </c>
      <c r="J33" s="223">
        <f>SUM(J34:J47)</f>
        <v>706144.8666666667</v>
      </c>
      <c r="K33" s="141">
        <f>I33-J33</f>
        <v>613855.1333333333</v>
      </c>
      <c r="L33" s="145">
        <f>K33</f>
        <v>613855.1333333333</v>
      </c>
      <c r="N33" s="600"/>
    </row>
    <row r="34" spans="2:14" x14ac:dyDescent="0.2">
      <c r="B34" s="475">
        <v>44224</v>
      </c>
      <c r="C34" s="335"/>
      <c r="D34" s="146" t="s">
        <v>193</v>
      </c>
      <c r="E34" s="336"/>
      <c r="F34" s="337"/>
      <c r="G34" s="338"/>
      <c r="H34" s="364"/>
      <c r="I34" s="365"/>
      <c r="J34" s="345">
        <v>67420.866666666669</v>
      </c>
      <c r="K34" s="342"/>
      <c r="L34" s="334"/>
      <c r="N34" s="312"/>
    </row>
    <row r="35" spans="2:14" x14ac:dyDescent="0.2">
      <c r="B35" s="475">
        <v>44256</v>
      </c>
      <c r="C35" s="335"/>
      <c r="D35" s="146" t="s">
        <v>249</v>
      </c>
      <c r="E35" s="336"/>
      <c r="F35" s="337"/>
      <c r="G35" s="338"/>
      <c r="H35" s="364"/>
      <c r="I35" s="365"/>
      <c r="J35" s="345">
        <v>106454</v>
      </c>
      <c r="K35" s="342"/>
      <c r="L35" s="334"/>
      <c r="N35" s="312"/>
    </row>
    <row r="36" spans="2:14" x14ac:dyDescent="0.2">
      <c r="B36" s="475">
        <v>44281</v>
      </c>
      <c r="C36" s="335"/>
      <c r="D36" s="146" t="s">
        <v>267</v>
      </c>
      <c r="E36" s="336"/>
      <c r="F36" s="337"/>
      <c r="G36" s="338"/>
      <c r="H36" s="364"/>
      <c r="I36" s="365"/>
      <c r="J36" s="345">
        <v>106454</v>
      </c>
      <c r="K36" s="342"/>
      <c r="L36" s="334"/>
      <c r="N36" s="312"/>
    </row>
    <row r="37" spans="2:14" x14ac:dyDescent="0.2">
      <c r="B37" s="597">
        <v>44312</v>
      </c>
      <c r="C37" s="357"/>
      <c r="D37" s="598" t="s">
        <v>281</v>
      </c>
      <c r="E37" s="336"/>
      <c r="F37" s="337"/>
      <c r="G37" s="338"/>
      <c r="H37" s="364"/>
      <c r="I37" s="365"/>
      <c r="J37" s="362">
        <v>106454</v>
      </c>
      <c r="K37" s="342"/>
      <c r="L37" s="334"/>
      <c r="N37" s="312"/>
    </row>
    <row r="38" spans="2:14" x14ac:dyDescent="0.2">
      <c r="B38" s="597">
        <v>44341</v>
      </c>
      <c r="C38" s="357"/>
      <c r="D38" s="598" t="s">
        <v>299</v>
      </c>
      <c r="E38" s="336"/>
      <c r="F38" s="337"/>
      <c r="G38" s="338"/>
      <c r="H38" s="364"/>
      <c r="I38" s="365"/>
      <c r="J38" s="362">
        <v>106454</v>
      </c>
      <c r="K38" s="342"/>
      <c r="L38" s="334"/>
      <c r="N38" s="312"/>
    </row>
    <row r="39" spans="2:14" x14ac:dyDescent="0.2">
      <c r="B39" s="597">
        <v>44371</v>
      </c>
      <c r="C39" s="357"/>
      <c r="D39" s="598" t="s">
        <v>313</v>
      </c>
      <c r="E39" s="336"/>
      <c r="F39" s="337"/>
      <c r="G39" s="338"/>
      <c r="H39" s="364"/>
      <c r="I39" s="365"/>
      <c r="J39" s="362">
        <v>106454</v>
      </c>
      <c r="K39" s="342"/>
      <c r="L39" s="334"/>
      <c r="N39" s="312"/>
    </row>
    <row r="40" spans="2:14" x14ac:dyDescent="0.2">
      <c r="B40" s="597">
        <v>44400</v>
      </c>
      <c r="C40" s="357"/>
      <c r="D40" s="600" t="s">
        <v>321</v>
      </c>
      <c r="E40" s="336"/>
      <c r="F40" s="337"/>
      <c r="G40" s="338"/>
      <c r="H40" s="364"/>
      <c r="I40" s="365"/>
      <c r="J40" s="362">
        <v>106454</v>
      </c>
      <c r="K40" s="342"/>
      <c r="L40" s="334"/>
      <c r="N40" s="312"/>
    </row>
    <row r="41" spans="2:14" x14ac:dyDescent="0.2">
      <c r="B41" s="597"/>
      <c r="C41" s="357"/>
      <c r="D41" s="358"/>
      <c r="E41" s="336"/>
      <c r="F41" s="337"/>
      <c r="G41" s="338"/>
      <c r="H41" s="364"/>
      <c r="I41" s="365"/>
      <c r="J41" s="345"/>
      <c r="K41" s="342"/>
      <c r="L41" s="334"/>
      <c r="N41" s="312"/>
    </row>
    <row r="42" spans="2:14" x14ac:dyDescent="0.2">
      <c r="B42" s="597"/>
      <c r="C42" s="357"/>
      <c r="D42" s="358"/>
      <c r="E42" s="336"/>
      <c r="F42" s="337"/>
      <c r="G42" s="338"/>
      <c r="H42" s="364"/>
      <c r="I42" s="365"/>
      <c r="J42" s="345"/>
      <c r="K42" s="342"/>
      <c r="L42" s="334"/>
      <c r="N42" s="312"/>
    </row>
    <row r="43" spans="2:14" x14ac:dyDescent="0.2">
      <c r="B43" s="478"/>
      <c r="C43" s="357"/>
      <c r="D43" s="616"/>
      <c r="E43" s="336"/>
      <c r="F43" s="337"/>
      <c r="G43" s="338"/>
      <c r="H43" s="364"/>
      <c r="I43" s="365"/>
      <c r="J43" s="345"/>
      <c r="K43" s="342"/>
      <c r="L43" s="334"/>
      <c r="N43" s="312"/>
    </row>
    <row r="44" spans="2:14" x14ac:dyDescent="0.2">
      <c r="B44" s="477"/>
      <c r="C44" s="335"/>
      <c r="D44" s="352"/>
      <c r="E44" s="336"/>
      <c r="F44" s="337"/>
      <c r="G44" s="338"/>
      <c r="H44" s="364"/>
      <c r="I44" s="365"/>
      <c r="J44" s="345"/>
      <c r="K44" s="342"/>
      <c r="L44" s="334"/>
      <c r="N44" s="312"/>
    </row>
    <row r="45" spans="2:14" x14ac:dyDescent="0.2">
      <c r="B45" s="477"/>
      <c r="C45" s="335"/>
      <c r="D45" s="352"/>
      <c r="F45" s="337"/>
      <c r="G45" s="338"/>
      <c r="H45" s="364"/>
      <c r="J45" s="345"/>
      <c r="K45" s="342"/>
      <c r="L45" s="334"/>
      <c r="N45" s="312"/>
    </row>
    <row r="46" spans="2:14" x14ac:dyDescent="0.2">
      <c r="B46" s="477"/>
      <c r="C46" s="335"/>
      <c r="D46" s="352"/>
      <c r="E46" s="336"/>
      <c r="F46" s="337"/>
      <c r="G46" s="338"/>
      <c r="H46" s="364"/>
      <c r="I46" s="340"/>
      <c r="J46" s="341"/>
      <c r="K46" s="342"/>
      <c r="L46" s="334"/>
      <c r="N46" s="312" t="s">
        <v>323</v>
      </c>
    </row>
    <row r="47" spans="2:14" x14ac:dyDescent="0.2">
      <c r="B47" s="477"/>
      <c r="C47" s="335"/>
      <c r="D47" s="352"/>
      <c r="E47" s="336"/>
      <c r="F47" s="337"/>
      <c r="G47" s="338"/>
      <c r="H47" s="364"/>
      <c r="I47" s="340"/>
      <c r="J47" s="341"/>
      <c r="K47" s="342"/>
      <c r="L47" s="334"/>
      <c r="N47" s="312"/>
    </row>
    <row r="48" spans="2:14" x14ac:dyDescent="0.2">
      <c r="B48" s="476"/>
      <c r="C48" s="343"/>
      <c r="D48" s="356"/>
      <c r="E48" s="336"/>
      <c r="F48" s="337"/>
      <c r="G48" s="338"/>
      <c r="H48" s="364"/>
      <c r="I48" s="340"/>
      <c r="J48" s="341"/>
      <c r="K48" s="342"/>
      <c r="L48" s="334"/>
      <c r="N48" s="312"/>
    </row>
    <row r="49" spans="2:14" s="125" customFormat="1" ht="15.75" x14ac:dyDescent="0.25">
      <c r="B49" s="474"/>
      <c r="C49" s="119" t="s">
        <v>12</v>
      </c>
      <c r="D49" s="120" t="s">
        <v>13</v>
      </c>
      <c r="E49" s="121">
        <f>'PROYECCION 2021'!C14</f>
        <v>848000</v>
      </c>
      <c r="F49" s="122">
        <f>SUM(F50:F67)</f>
        <v>0</v>
      </c>
      <c r="G49" s="122">
        <f>SUM(G50:G67)</f>
        <v>0</v>
      </c>
      <c r="H49" s="122">
        <f>SUM(H50:H67)</f>
        <v>0</v>
      </c>
      <c r="I49" s="123">
        <f>ROUND((E49+F49+G49-H49),1)</f>
        <v>848000</v>
      </c>
      <c r="J49" s="223">
        <f>SUM(J50:J67)</f>
        <v>438450</v>
      </c>
      <c r="K49" s="141">
        <f>I49-J49</f>
        <v>409550</v>
      </c>
      <c r="L49" s="145">
        <f>K49</f>
        <v>409550</v>
      </c>
      <c r="N49" s="600"/>
    </row>
    <row r="50" spans="2:14" x14ac:dyDescent="0.2">
      <c r="B50" s="475">
        <v>44224</v>
      </c>
      <c r="C50" s="335"/>
      <c r="D50" s="146" t="s">
        <v>193</v>
      </c>
      <c r="E50" s="353"/>
      <c r="F50" s="337"/>
      <c r="G50" s="338"/>
      <c r="H50" s="364"/>
      <c r="I50" s="348"/>
      <c r="J50" s="345">
        <v>41862</v>
      </c>
      <c r="K50" s="349"/>
      <c r="L50" s="146"/>
      <c r="N50" s="312"/>
    </row>
    <row r="51" spans="2:14" x14ac:dyDescent="0.2">
      <c r="B51" s="475">
        <v>44256</v>
      </c>
      <c r="C51" s="335"/>
      <c r="D51" s="146" t="s">
        <v>249</v>
      </c>
      <c r="E51" s="353"/>
      <c r="F51" s="337"/>
      <c r="G51" s="338"/>
      <c r="H51" s="364"/>
      <c r="I51" s="348"/>
      <c r="J51" s="345">
        <v>66098</v>
      </c>
      <c r="K51" s="349"/>
      <c r="L51" s="146"/>
      <c r="N51" s="312"/>
    </row>
    <row r="52" spans="2:14" x14ac:dyDescent="0.2">
      <c r="B52" s="597">
        <v>44281</v>
      </c>
      <c r="C52" s="357"/>
      <c r="D52" s="598" t="s">
        <v>267</v>
      </c>
      <c r="E52" s="353"/>
      <c r="F52" s="337"/>
      <c r="G52" s="338"/>
      <c r="H52" s="364"/>
      <c r="I52" s="348"/>
      <c r="J52" s="345">
        <v>66098</v>
      </c>
      <c r="K52" s="349"/>
      <c r="L52" s="146"/>
      <c r="N52" s="312"/>
    </row>
    <row r="53" spans="2:14" x14ac:dyDescent="0.2">
      <c r="B53" s="597">
        <v>44312</v>
      </c>
      <c r="C53" s="357"/>
      <c r="D53" s="598" t="s">
        <v>281</v>
      </c>
      <c r="E53" s="353"/>
      <c r="F53" s="337"/>
      <c r="G53" s="338"/>
      <c r="H53" s="364"/>
      <c r="I53" s="348"/>
      <c r="J53" s="362">
        <v>66098</v>
      </c>
      <c r="K53" s="349"/>
      <c r="L53" s="146"/>
      <c r="N53" s="312"/>
    </row>
    <row r="54" spans="2:14" x14ac:dyDescent="0.2">
      <c r="B54" s="597">
        <v>44341</v>
      </c>
      <c r="C54" s="357"/>
      <c r="D54" s="598" t="s">
        <v>299</v>
      </c>
      <c r="E54" s="353"/>
      <c r="F54" s="337"/>
      <c r="G54" s="338"/>
      <c r="H54" s="364"/>
      <c r="I54" s="348"/>
      <c r="J54" s="362">
        <v>66098</v>
      </c>
      <c r="K54" s="349"/>
      <c r="L54" s="146"/>
      <c r="N54" s="312"/>
    </row>
    <row r="55" spans="2:14" x14ac:dyDescent="0.2">
      <c r="B55" s="597">
        <v>44371</v>
      </c>
      <c r="C55" s="357"/>
      <c r="D55" s="598" t="s">
        <v>313</v>
      </c>
      <c r="E55" s="353"/>
      <c r="F55" s="337"/>
      <c r="G55" s="338"/>
      <c r="H55" s="364"/>
      <c r="I55" s="348"/>
      <c r="J55" s="362">
        <v>66098</v>
      </c>
      <c r="K55" s="349"/>
      <c r="L55" s="146"/>
      <c r="N55" s="312"/>
    </row>
    <row r="56" spans="2:14" x14ac:dyDescent="0.2">
      <c r="B56" s="597">
        <v>44400</v>
      </c>
      <c r="C56" s="357"/>
      <c r="D56" s="616" t="s">
        <v>321</v>
      </c>
      <c r="E56" s="353"/>
      <c r="F56" s="337"/>
      <c r="G56" s="338"/>
      <c r="H56" s="364"/>
      <c r="I56" s="348"/>
      <c r="J56" s="362">
        <v>66098</v>
      </c>
      <c r="K56" s="349"/>
      <c r="L56" s="146"/>
      <c r="N56" s="312"/>
    </row>
    <row r="57" spans="2:14" s="168" customFormat="1" x14ac:dyDescent="0.2">
      <c r="B57" s="475"/>
      <c r="C57" s="335"/>
      <c r="D57" s="367"/>
      <c r="E57" s="353"/>
      <c r="F57" s="337"/>
      <c r="G57" s="338"/>
      <c r="H57" s="364"/>
      <c r="I57" s="348"/>
      <c r="J57" s="345"/>
      <c r="K57" s="349"/>
      <c r="L57" s="146"/>
      <c r="N57" s="312"/>
    </row>
    <row r="58" spans="2:14" x14ac:dyDescent="0.2">
      <c r="B58" s="475"/>
      <c r="C58" s="335"/>
      <c r="D58" s="352"/>
      <c r="E58" s="353"/>
      <c r="F58" s="337"/>
      <c r="G58" s="338"/>
      <c r="H58" s="364"/>
      <c r="I58" s="348"/>
      <c r="J58" s="345"/>
      <c r="K58" s="349"/>
      <c r="L58" s="146"/>
      <c r="N58" s="312"/>
    </row>
    <row r="59" spans="2:14" x14ac:dyDescent="0.2">
      <c r="B59" s="477"/>
      <c r="C59" s="335"/>
      <c r="D59" s="366"/>
      <c r="E59" s="353"/>
      <c r="F59" s="337"/>
      <c r="G59" s="338"/>
      <c r="H59" s="364"/>
      <c r="I59" s="348"/>
      <c r="J59" s="345"/>
      <c r="K59" s="349"/>
      <c r="L59" s="146"/>
      <c r="N59" s="312"/>
    </row>
    <row r="60" spans="2:14" x14ac:dyDescent="0.2">
      <c r="B60" s="477"/>
      <c r="C60" s="335"/>
      <c r="D60" s="366"/>
      <c r="E60" s="353"/>
      <c r="F60" s="337"/>
      <c r="G60" s="338"/>
      <c r="H60" s="364"/>
      <c r="I60" s="348"/>
      <c r="J60" s="345"/>
      <c r="K60" s="349"/>
      <c r="L60" s="146"/>
      <c r="N60" s="312"/>
    </row>
    <row r="61" spans="2:14" x14ac:dyDescent="0.2">
      <c r="B61" s="477"/>
      <c r="C61" s="335"/>
      <c r="D61" s="352"/>
      <c r="E61" s="353"/>
      <c r="F61" s="337"/>
      <c r="G61" s="338"/>
      <c r="H61" s="364"/>
      <c r="I61" s="348"/>
      <c r="J61" s="345"/>
      <c r="K61" s="349"/>
      <c r="L61" s="146"/>
      <c r="N61" s="312"/>
    </row>
    <row r="62" spans="2:14" x14ac:dyDescent="0.2">
      <c r="B62" s="477"/>
      <c r="C62" s="335"/>
      <c r="D62" s="352"/>
      <c r="E62" s="353"/>
      <c r="F62" s="337"/>
      <c r="G62" s="338"/>
      <c r="H62" s="364"/>
      <c r="I62" s="348"/>
      <c r="J62" s="345"/>
      <c r="K62" s="349"/>
      <c r="L62" s="146"/>
      <c r="N62" s="312"/>
    </row>
    <row r="63" spans="2:14" x14ac:dyDescent="0.2">
      <c r="B63" s="477"/>
      <c r="C63" s="335"/>
      <c r="D63" s="352"/>
      <c r="E63" s="353"/>
      <c r="F63" s="337"/>
      <c r="G63" s="338"/>
      <c r="H63" s="364"/>
      <c r="I63" s="348"/>
      <c r="J63" s="345"/>
      <c r="K63" s="342"/>
      <c r="L63" s="334"/>
      <c r="N63" s="312"/>
    </row>
    <row r="64" spans="2:14" x14ac:dyDescent="0.2">
      <c r="B64" s="477"/>
      <c r="C64" s="335"/>
      <c r="D64" s="368"/>
      <c r="E64" s="369"/>
      <c r="F64" s="337"/>
      <c r="G64" s="338"/>
      <c r="H64" s="364"/>
      <c r="I64" s="348"/>
      <c r="J64" s="345"/>
      <c r="K64" s="342"/>
      <c r="L64" s="334"/>
      <c r="N64" s="312"/>
    </row>
    <row r="65" spans="2:14" x14ac:dyDescent="0.2">
      <c r="B65" s="477"/>
      <c r="C65" s="146"/>
      <c r="D65" s="146"/>
      <c r="E65" s="367"/>
      <c r="F65" s="337"/>
      <c r="G65" s="338"/>
      <c r="H65" s="364"/>
      <c r="I65" s="348"/>
      <c r="J65" s="345"/>
      <c r="K65" s="342"/>
      <c r="L65" s="334"/>
      <c r="N65" s="312"/>
    </row>
    <row r="66" spans="2:14" x14ac:dyDescent="0.2">
      <c r="B66" s="477"/>
      <c r="C66" s="335"/>
      <c r="D66" s="352"/>
      <c r="E66" s="336"/>
      <c r="F66" s="337"/>
      <c r="G66" s="338"/>
      <c r="H66" s="364"/>
      <c r="I66" s="340"/>
      <c r="J66" s="341"/>
      <c r="K66" s="342"/>
      <c r="L66" s="334"/>
      <c r="N66" s="312"/>
    </row>
    <row r="67" spans="2:14" x14ac:dyDescent="0.2">
      <c r="B67" s="476"/>
      <c r="C67" s="343"/>
      <c r="D67" s="356"/>
      <c r="E67" s="336"/>
      <c r="F67" s="337"/>
      <c r="G67" s="338"/>
      <c r="H67" s="364"/>
      <c r="I67" s="340"/>
      <c r="J67" s="341"/>
      <c r="K67" s="342"/>
      <c r="L67" s="334"/>
      <c r="N67" s="312"/>
    </row>
    <row r="68" spans="2:14" s="125" customFormat="1" ht="15.75" x14ac:dyDescent="0.25">
      <c r="B68" s="474"/>
      <c r="C68" s="119" t="s">
        <v>14</v>
      </c>
      <c r="D68" s="120" t="s">
        <v>15</v>
      </c>
      <c r="E68" s="121">
        <f>'PROYECCION 2021'!C15</f>
        <v>16300000</v>
      </c>
      <c r="F68" s="122">
        <f>SUM(F69:F85)</f>
        <v>0</v>
      </c>
      <c r="G68" s="122">
        <f>SUM(G69:G85)</f>
        <v>0</v>
      </c>
      <c r="H68" s="122">
        <f>SUM(H69:H85)</f>
        <v>0</v>
      </c>
      <c r="I68" s="123">
        <f>ROUND((E68+F68+G68-H68),1)</f>
        <v>16300000</v>
      </c>
      <c r="J68" s="223">
        <f>SUM(J69:J85)</f>
        <v>13161987</v>
      </c>
      <c r="K68" s="141">
        <f>I68-J68</f>
        <v>3138013</v>
      </c>
      <c r="L68" s="146"/>
      <c r="N68" s="600"/>
    </row>
    <row r="69" spans="2:14" x14ac:dyDescent="0.2">
      <c r="B69" s="475">
        <v>44224</v>
      </c>
      <c r="C69" s="335"/>
      <c r="D69" s="352" t="s">
        <v>170</v>
      </c>
      <c r="E69" s="353"/>
      <c r="F69" s="337"/>
      <c r="G69" s="338"/>
      <c r="H69" s="364"/>
      <c r="I69" s="348"/>
      <c r="J69" s="345">
        <v>4181100</v>
      </c>
      <c r="K69" s="342"/>
      <c r="L69" s="334"/>
      <c r="N69" s="312"/>
    </row>
    <row r="70" spans="2:14" x14ac:dyDescent="0.2">
      <c r="B70" s="477">
        <v>44305</v>
      </c>
      <c r="C70" s="335"/>
      <c r="D70" s="358" t="s">
        <v>274</v>
      </c>
      <c r="E70" s="353"/>
      <c r="F70" s="337"/>
      <c r="G70" s="338"/>
      <c r="H70" s="364"/>
      <c r="I70" s="348"/>
      <c r="J70" s="362">
        <v>707551</v>
      </c>
      <c r="K70" s="342"/>
      <c r="L70" s="334"/>
      <c r="N70" s="312"/>
    </row>
    <row r="71" spans="2:14" x14ac:dyDescent="0.2">
      <c r="B71" s="478">
        <v>44305</v>
      </c>
      <c r="C71" s="357"/>
      <c r="D71" s="358" t="s">
        <v>277</v>
      </c>
      <c r="E71" s="353"/>
      <c r="F71" s="337"/>
      <c r="G71" s="338"/>
      <c r="H71" s="364"/>
      <c r="I71" s="348"/>
      <c r="J71" s="362">
        <v>98486</v>
      </c>
      <c r="K71" s="342"/>
      <c r="L71" s="334"/>
      <c r="N71" s="312"/>
    </row>
    <row r="72" spans="2:14" x14ac:dyDescent="0.2">
      <c r="B72" s="478">
        <v>44344</v>
      </c>
      <c r="C72" s="357"/>
      <c r="D72" s="358" t="s">
        <v>300</v>
      </c>
      <c r="E72" s="353"/>
      <c r="F72" s="337"/>
      <c r="G72" s="338"/>
      <c r="H72" s="364"/>
      <c r="I72" s="348"/>
      <c r="J72" s="362">
        <v>537656</v>
      </c>
      <c r="K72" s="342"/>
      <c r="L72" s="334"/>
      <c r="N72" s="312"/>
    </row>
    <row r="73" spans="2:14" x14ac:dyDescent="0.2">
      <c r="B73" s="478">
        <v>44344</v>
      </c>
      <c r="C73" s="357"/>
      <c r="D73" s="358" t="s">
        <v>301</v>
      </c>
      <c r="E73" s="353"/>
      <c r="F73" s="337"/>
      <c r="G73" s="338"/>
      <c r="H73" s="364"/>
      <c r="I73" s="348"/>
      <c r="J73" s="362">
        <v>1184702</v>
      </c>
      <c r="K73" s="342"/>
      <c r="L73" s="334"/>
      <c r="N73" s="312"/>
    </row>
    <row r="74" spans="2:14" x14ac:dyDescent="0.2">
      <c r="B74" s="478">
        <v>44363</v>
      </c>
      <c r="C74" s="357"/>
      <c r="D74" s="358" t="s">
        <v>139</v>
      </c>
      <c r="E74" s="353"/>
      <c r="F74" s="337"/>
      <c r="G74" s="338"/>
      <c r="H74" s="364"/>
      <c r="I74" s="348"/>
      <c r="J74" s="362">
        <v>1633467</v>
      </c>
      <c r="K74" s="342"/>
      <c r="L74" s="334"/>
      <c r="N74" s="312"/>
    </row>
    <row r="75" spans="2:14" x14ac:dyDescent="0.2">
      <c r="B75" s="645">
        <v>44411</v>
      </c>
      <c r="C75" s="646"/>
      <c r="D75" s="647" t="s">
        <v>328</v>
      </c>
      <c r="E75" s="353"/>
      <c r="F75" s="337"/>
      <c r="G75" s="338"/>
      <c r="H75" s="364"/>
      <c r="I75" s="348"/>
      <c r="J75" s="648">
        <v>1796654</v>
      </c>
      <c r="K75" s="342"/>
      <c r="L75" s="334"/>
    </row>
    <row r="76" spans="2:14" x14ac:dyDescent="0.2">
      <c r="B76" s="645">
        <v>44411</v>
      </c>
      <c r="C76" s="646"/>
      <c r="D76" s="647" t="s">
        <v>329</v>
      </c>
      <c r="E76" s="353"/>
      <c r="F76" s="337"/>
      <c r="G76" s="338"/>
      <c r="H76" s="364"/>
      <c r="I76" s="348"/>
      <c r="J76" s="648">
        <v>1796654</v>
      </c>
      <c r="K76" s="342"/>
      <c r="L76" s="334"/>
    </row>
    <row r="77" spans="2:14" x14ac:dyDescent="0.2">
      <c r="B77" s="645">
        <v>44411</v>
      </c>
      <c r="C77" s="646"/>
      <c r="D77" s="647" t="s">
        <v>330</v>
      </c>
      <c r="E77" s="353"/>
      <c r="F77" s="337"/>
      <c r="G77" s="338"/>
      <c r="H77" s="364"/>
      <c r="I77" s="348"/>
      <c r="J77" s="648">
        <v>1225717</v>
      </c>
      <c r="K77" s="342"/>
      <c r="L77" s="334"/>
    </row>
    <row r="78" spans="2:14" x14ac:dyDescent="0.2">
      <c r="B78" s="477"/>
      <c r="C78" s="335"/>
      <c r="D78" s="352"/>
      <c r="E78" s="353"/>
      <c r="F78" s="337"/>
      <c r="G78" s="338"/>
      <c r="H78" s="364"/>
      <c r="I78" s="348"/>
      <c r="J78" s="345"/>
      <c r="K78" s="342"/>
      <c r="L78" s="334"/>
      <c r="N78" s="312"/>
    </row>
    <row r="79" spans="2:14" x14ac:dyDescent="0.2">
      <c r="B79" s="477"/>
      <c r="C79" s="335"/>
      <c r="D79" s="352"/>
      <c r="E79" s="353"/>
      <c r="F79" s="337"/>
      <c r="G79" s="338"/>
      <c r="H79" s="364"/>
      <c r="I79" s="348"/>
      <c r="J79" s="345"/>
      <c r="K79" s="342"/>
      <c r="L79" s="334"/>
      <c r="N79" s="312"/>
    </row>
    <row r="80" spans="2:14" x14ac:dyDescent="0.2">
      <c r="B80" s="477"/>
      <c r="C80" s="335"/>
      <c r="D80" s="352"/>
      <c r="E80" s="353"/>
      <c r="F80" s="337"/>
      <c r="G80" s="338"/>
      <c r="H80" s="364"/>
      <c r="I80" s="348"/>
      <c r="J80" s="345"/>
      <c r="K80" s="342"/>
      <c r="L80" s="334"/>
      <c r="N80" s="312"/>
    </row>
    <row r="81" spans="2:14" x14ac:dyDescent="0.2">
      <c r="B81" s="477"/>
      <c r="C81" s="335"/>
      <c r="D81" s="352"/>
      <c r="E81" s="353"/>
      <c r="F81" s="337"/>
      <c r="G81" s="338"/>
      <c r="H81" s="364"/>
      <c r="I81" s="348"/>
      <c r="J81" s="345"/>
      <c r="K81" s="342"/>
      <c r="L81" s="334"/>
      <c r="N81" s="312"/>
    </row>
    <row r="82" spans="2:14" x14ac:dyDescent="0.2">
      <c r="B82" s="477"/>
      <c r="C82" s="335"/>
      <c r="D82" s="352"/>
      <c r="E82" s="353"/>
      <c r="F82" s="337"/>
      <c r="G82" s="338"/>
      <c r="H82" s="364"/>
      <c r="I82" s="348"/>
      <c r="J82" s="345"/>
      <c r="K82" s="342"/>
      <c r="L82" s="334"/>
      <c r="N82" s="312"/>
    </row>
    <row r="83" spans="2:14" x14ac:dyDescent="0.2">
      <c r="B83" s="477"/>
      <c r="C83" s="335"/>
      <c r="D83" s="352"/>
      <c r="E83" s="353"/>
      <c r="F83" s="337"/>
      <c r="G83" s="338"/>
      <c r="H83" s="364"/>
      <c r="I83" s="348"/>
      <c r="J83" s="345"/>
      <c r="K83" s="342"/>
      <c r="L83" s="334"/>
      <c r="N83" s="312"/>
    </row>
    <row r="84" spans="2:14" x14ac:dyDescent="0.2">
      <c r="B84" s="477"/>
      <c r="C84" s="335"/>
      <c r="D84" s="352"/>
      <c r="E84" s="353"/>
      <c r="F84" s="337"/>
      <c r="G84" s="338"/>
      <c r="H84" s="364"/>
      <c r="I84" s="348"/>
      <c r="J84" s="345"/>
      <c r="K84" s="342"/>
      <c r="L84" s="334"/>
      <c r="N84" s="312"/>
    </row>
    <row r="85" spans="2:14" x14ac:dyDescent="0.2">
      <c r="B85" s="477"/>
      <c r="C85" s="335"/>
      <c r="D85" s="352"/>
      <c r="E85" s="353"/>
      <c r="F85" s="337"/>
      <c r="G85" s="338"/>
      <c r="H85" s="364"/>
      <c r="I85" s="348"/>
      <c r="J85" s="345"/>
      <c r="K85" s="342"/>
      <c r="L85" s="334"/>
      <c r="N85" s="312"/>
    </row>
    <row r="86" spans="2:14" s="125" customFormat="1" ht="15.75" x14ac:dyDescent="0.25">
      <c r="B86" s="474"/>
      <c r="C86" s="119" t="s">
        <v>16</v>
      </c>
      <c r="D86" s="120" t="s">
        <v>17</v>
      </c>
      <c r="E86" s="121">
        <f>'PROYECCION 2021'!C16</f>
        <v>24000000</v>
      </c>
      <c r="F86" s="122">
        <f>SUM(F87:F108)</f>
        <v>0</v>
      </c>
      <c r="G86" s="122">
        <f>SUM(G87:G108)</f>
        <v>0</v>
      </c>
      <c r="H86" s="122">
        <f>SUM(H87:H108)</f>
        <v>0</v>
      </c>
      <c r="I86" s="123">
        <f>ROUND((E86+F86+G86-H86),1)</f>
        <v>24000000</v>
      </c>
      <c r="J86" s="223">
        <f>SUM(J87:J108)</f>
        <v>22799383</v>
      </c>
      <c r="K86" s="141">
        <f>I86-J86</f>
        <v>1200617</v>
      </c>
      <c r="L86" s="145">
        <f>K86</f>
        <v>1200617</v>
      </c>
      <c r="N86" s="600"/>
    </row>
    <row r="87" spans="2:14" x14ac:dyDescent="0.2">
      <c r="B87" s="477">
        <v>44305</v>
      </c>
      <c r="C87" s="335"/>
      <c r="D87" s="358" t="s">
        <v>274</v>
      </c>
      <c r="E87" s="336"/>
      <c r="F87" s="337"/>
      <c r="G87" s="370"/>
      <c r="H87" s="364"/>
      <c r="I87" s="340"/>
      <c r="J87" s="362">
        <v>1028394</v>
      </c>
      <c r="K87" s="342"/>
      <c r="L87" s="334"/>
      <c r="N87" s="312"/>
    </row>
    <row r="88" spans="2:14" x14ac:dyDescent="0.2">
      <c r="B88" s="477">
        <v>44305</v>
      </c>
      <c r="C88" s="335"/>
      <c r="D88" s="358" t="s">
        <v>277</v>
      </c>
      <c r="E88" s="336"/>
      <c r="F88" s="337"/>
      <c r="G88" s="370"/>
      <c r="H88" s="364"/>
      <c r="I88" s="340"/>
      <c r="J88" s="362">
        <v>141128</v>
      </c>
      <c r="K88" s="342"/>
      <c r="L88" s="334"/>
      <c r="N88" s="312"/>
    </row>
    <row r="89" spans="2:14" x14ac:dyDescent="0.2">
      <c r="B89" s="478">
        <v>44389</v>
      </c>
      <c r="C89" s="357"/>
      <c r="D89" s="358" t="s">
        <v>319</v>
      </c>
      <c r="E89" s="336"/>
      <c r="F89" s="337"/>
      <c r="G89" s="370"/>
      <c r="H89" s="364"/>
      <c r="I89" s="340"/>
      <c r="J89" s="362">
        <v>21629861</v>
      </c>
      <c r="K89" s="342"/>
      <c r="L89" s="334"/>
      <c r="N89" s="312"/>
    </row>
    <row r="90" spans="2:14" x14ac:dyDescent="0.2">
      <c r="B90" s="477"/>
      <c r="C90" s="335"/>
      <c r="D90" s="352"/>
      <c r="E90" s="336"/>
      <c r="F90" s="337"/>
      <c r="G90" s="370"/>
      <c r="H90" s="364"/>
      <c r="I90" s="340"/>
      <c r="J90" s="341"/>
      <c r="K90" s="342"/>
      <c r="L90" s="334"/>
      <c r="N90" s="312"/>
    </row>
    <row r="91" spans="2:14" x14ac:dyDescent="0.2">
      <c r="B91" s="477"/>
      <c r="C91" s="335"/>
      <c r="D91" s="352"/>
      <c r="E91" s="336"/>
      <c r="F91" s="337"/>
      <c r="G91" s="370"/>
      <c r="H91" s="364"/>
      <c r="I91" s="340"/>
      <c r="J91" s="341"/>
      <c r="K91" s="342"/>
      <c r="L91" s="334"/>
      <c r="N91" s="312"/>
    </row>
    <row r="92" spans="2:14" x14ac:dyDescent="0.2">
      <c r="B92" s="477"/>
      <c r="C92" s="335"/>
      <c r="D92" s="352"/>
      <c r="E92" s="336"/>
      <c r="F92" s="337"/>
      <c r="G92" s="370"/>
      <c r="H92" s="364"/>
      <c r="I92" s="340"/>
      <c r="J92" s="341"/>
      <c r="K92" s="342"/>
      <c r="L92" s="334"/>
      <c r="N92" s="312"/>
    </row>
    <row r="93" spans="2:14" x14ac:dyDescent="0.2">
      <c r="B93" s="477"/>
      <c r="C93" s="335"/>
      <c r="D93" s="352"/>
      <c r="E93" s="336"/>
      <c r="F93" s="337"/>
      <c r="G93" s="370"/>
      <c r="H93" s="364"/>
      <c r="I93" s="340"/>
      <c r="J93" s="341"/>
      <c r="K93" s="342"/>
      <c r="L93" s="334"/>
      <c r="N93" s="312"/>
    </row>
    <row r="94" spans="2:14" x14ac:dyDescent="0.2">
      <c r="B94" s="477"/>
      <c r="C94" s="335"/>
      <c r="D94" s="352"/>
      <c r="E94" s="336"/>
      <c r="F94" s="337"/>
      <c r="G94" s="370"/>
      <c r="H94" s="364"/>
      <c r="I94" s="340"/>
      <c r="J94" s="341"/>
      <c r="K94" s="342"/>
      <c r="L94" s="334"/>
      <c r="N94" s="312"/>
    </row>
    <row r="95" spans="2:14" x14ac:dyDescent="0.2">
      <c r="B95" s="477"/>
      <c r="C95" s="335"/>
      <c r="D95" s="352"/>
      <c r="E95" s="336"/>
      <c r="F95" s="337"/>
      <c r="G95" s="370"/>
      <c r="H95" s="364"/>
      <c r="I95" s="340"/>
      <c r="J95" s="341"/>
      <c r="K95" s="342"/>
      <c r="L95" s="334"/>
      <c r="N95" s="312"/>
    </row>
    <row r="96" spans="2:14" x14ac:dyDescent="0.2">
      <c r="B96" s="477"/>
      <c r="C96" s="335"/>
      <c r="D96" s="352"/>
      <c r="E96" s="336"/>
      <c r="F96" s="337"/>
      <c r="G96" s="370"/>
      <c r="H96" s="364"/>
      <c r="I96" s="340"/>
      <c r="J96" s="341"/>
      <c r="K96" s="342"/>
      <c r="L96" s="334"/>
      <c r="N96" s="312"/>
    </row>
    <row r="97" spans="2:14" x14ac:dyDescent="0.2">
      <c r="B97" s="477"/>
      <c r="C97" s="335"/>
      <c r="D97" s="352"/>
      <c r="E97" s="336"/>
      <c r="F97" s="337"/>
      <c r="G97" s="370"/>
      <c r="H97" s="364"/>
      <c r="I97" s="340"/>
      <c r="J97" s="341"/>
      <c r="K97" s="342"/>
      <c r="L97" s="334"/>
      <c r="N97" s="312"/>
    </row>
    <row r="98" spans="2:14" x14ac:dyDescent="0.2">
      <c r="B98" s="477"/>
      <c r="C98" s="335"/>
      <c r="D98" s="352"/>
      <c r="E98" s="336"/>
      <c r="F98" s="337"/>
      <c r="G98" s="370"/>
      <c r="H98" s="364"/>
      <c r="I98" s="340"/>
      <c r="J98" s="341"/>
      <c r="K98" s="342"/>
      <c r="L98" s="334"/>
      <c r="N98" s="312"/>
    </row>
    <row r="99" spans="2:14" x14ac:dyDescent="0.2">
      <c r="B99" s="477"/>
      <c r="C99" s="335"/>
      <c r="D99" s="352"/>
      <c r="E99" s="336"/>
      <c r="F99" s="337"/>
      <c r="G99" s="370"/>
      <c r="H99" s="364"/>
      <c r="I99" s="340"/>
      <c r="J99" s="341"/>
      <c r="K99" s="342"/>
      <c r="L99" s="334"/>
      <c r="N99" s="312"/>
    </row>
    <row r="100" spans="2:14" x14ac:dyDescent="0.2">
      <c r="B100" s="477"/>
      <c r="C100" s="335"/>
      <c r="D100" s="352"/>
      <c r="E100" s="336"/>
      <c r="F100" s="337"/>
      <c r="G100" s="370"/>
      <c r="H100" s="364"/>
      <c r="I100" s="340"/>
      <c r="J100" s="341"/>
      <c r="K100" s="342"/>
      <c r="L100" s="334"/>
      <c r="N100" s="312"/>
    </row>
    <row r="101" spans="2:14" x14ac:dyDescent="0.2">
      <c r="B101" s="477"/>
      <c r="C101" s="335"/>
      <c r="D101" s="352"/>
      <c r="E101" s="336"/>
      <c r="F101" s="337"/>
      <c r="G101" s="370"/>
      <c r="H101" s="364"/>
      <c r="I101" s="340"/>
      <c r="J101" s="341"/>
      <c r="K101" s="342"/>
      <c r="L101" s="334"/>
      <c r="N101" s="312"/>
    </row>
    <row r="102" spans="2:14" x14ac:dyDescent="0.2">
      <c r="B102" s="477"/>
      <c r="C102" s="335"/>
      <c r="D102" s="352"/>
      <c r="E102" s="336"/>
      <c r="F102" s="337"/>
      <c r="G102" s="370"/>
      <c r="H102" s="364"/>
      <c r="I102" s="340"/>
      <c r="J102" s="341"/>
      <c r="K102" s="342"/>
      <c r="L102" s="334"/>
      <c r="N102" s="312"/>
    </row>
    <row r="103" spans="2:14" x14ac:dyDescent="0.2">
      <c r="B103" s="477"/>
      <c r="C103" s="335"/>
      <c r="D103" s="352"/>
      <c r="E103" s="336"/>
      <c r="F103" s="337"/>
      <c r="G103" s="370"/>
      <c r="H103" s="364"/>
      <c r="I103" s="340"/>
      <c r="J103" s="341"/>
      <c r="K103" s="342"/>
      <c r="L103" s="334"/>
      <c r="N103" s="312"/>
    </row>
    <row r="104" spans="2:14" x14ac:dyDescent="0.2">
      <c r="B104" s="477"/>
      <c r="C104" s="335"/>
      <c r="D104" s="352"/>
      <c r="E104" s="336"/>
      <c r="F104" s="337"/>
      <c r="G104" s="370"/>
      <c r="H104" s="364"/>
      <c r="I104" s="340"/>
      <c r="J104" s="341"/>
      <c r="K104" s="342"/>
      <c r="L104" s="334"/>
      <c r="N104" s="312"/>
    </row>
    <row r="105" spans="2:14" x14ac:dyDescent="0.2">
      <c r="B105" s="477"/>
      <c r="C105" s="335"/>
      <c r="D105" s="352"/>
      <c r="E105" s="336"/>
      <c r="F105" s="337"/>
      <c r="G105" s="370"/>
      <c r="H105" s="364"/>
      <c r="I105" s="340"/>
      <c r="J105" s="341"/>
      <c r="K105" s="342"/>
      <c r="L105" s="334"/>
      <c r="N105" s="312"/>
    </row>
    <row r="106" spans="2:14" x14ac:dyDescent="0.2">
      <c r="B106" s="477"/>
      <c r="C106" s="335"/>
      <c r="D106" s="352"/>
      <c r="E106" s="336"/>
      <c r="F106" s="337"/>
      <c r="G106" s="370"/>
      <c r="H106" s="364"/>
      <c r="I106" s="340"/>
      <c r="J106" s="341"/>
      <c r="K106" s="342"/>
      <c r="L106" s="334"/>
      <c r="N106" s="312"/>
    </row>
    <row r="107" spans="2:14" x14ac:dyDescent="0.2">
      <c r="B107" s="477"/>
      <c r="C107" s="335"/>
      <c r="D107" s="352"/>
      <c r="E107" s="336"/>
      <c r="F107" s="337"/>
      <c r="G107" s="370"/>
      <c r="H107" s="364"/>
      <c r="I107" s="340"/>
      <c r="J107" s="341"/>
      <c r="K107" s="342"/>
      <c r="L107" s="334"/>
      <c r="N107" s="312"/>
    </row>
    <row r="108" spans="2:14" x14ac:dyDescent="0.2">
      <c r="B108" s="477"/>
      <c r="C108" s="335"/>
      <c r="D108" s="352"/>
      <c r="E108" s="336"/>
      <c r="F108" s="337"/>
      <c r="G108" s="370"/>
      <c r="H108" s="364"/>
      <c r="I108" s="340"/>
      <c r="J108" s="341"/>
      <c r="K108" s="342"/>
      <c r="L108" s="334"/>
      <c r="N108" s="312"/>
    </row>
    <row r="109" spans="2:14" s="125" customFormat="1" ht="15.75" x14ac:dyDescent="0.25">
      <c r="B109" s="474"/>
      <c r="C109" s="119" t="s">
        <v>18</v>
      </c>
      <c r="D109" s="120" t="s">
        <v>19</v>
      </c>
      <c r="E109" s="121">
        <f>'PROYECCION 2021'!C17</f>
        <v>24787000</v>
      </c>
      <c r="F109" s="122">
        <f>SUM(F110:F130)</f>
        <v>0</v>
      </c>
      <c r="G109" s="122">
        <f>SUM(G110:G130)</f>
        <v>0</v>
      </c>
      <c r="H109" s="122">
        <f>SUM(H110:H130)</f>
        <v>0</v>
      </c>
      <c r="I109" s="123">
        <f>ROUND((E109+F109+G109-H109),1)</f>
        <v>24787000</v>
      </c>
      <c r="J109" s="223">
        <f>SUM(J110:J130)</f>
        <v>3128809</v>
      </c>
      <c r="K109" s="141">
        <f>I109-J109</f>
        <v>21658191</v>
      </c>
      <c r="L109" s="145">
        <f>K109</f>
        <v>21658191</v>
      </c>
      <c r="N109" s="600"/>
    </row>
    <row r="110" spans="2:14" x14ac:dyDescent="0.2">
      <c r="B110" s="477">
        <v>44305</v>
      </c>
      <c r="C110" s="335"/>
      <c r="D110" s="358" t="s">
        <v>274</v>
      </c>
      <c r="E110" s="336"/>
      <c r="F110" s="337"/>
      <c r="G110" s="338"/>
      <c r="H110" s="371"/>
      <c r="I110" s="340"/>
      <c r="J110" s="362">
        <v>1084841</v>
      </c>
      <c r="K110" s="342"/>
      <c r="L110" s="334"/>
      <c r="N110" s="312"/>
    </row>
    <row r="111" spans="2:14" x14ac:dyDescent="0.2">
      <c r="B111" s="478">
        <v>44305</v>
      </c>
      <c r="C111" s="357"/>
      <c r="D111" s="358" t="s">
        <v>277</v>
      </c>
      <c r="E111" s="336"/>
      <c r="F111" s="337"/>
      <c r="G111" s="338"/>
      <c r="H111" s="371"/>
      <c r="I111" s="340"/>
      <c r="J111" s="362">
        <v>142501</v>
      </c>
      <c r="K111" s="342"/>
      <c r="L111" s="334"/>
      <c r="N111" s="312"/>
    </row>
    <row r="112" spans="2:14" x14ac:dyDescent="0.2">
      <c r="B112" s="478">
        <v>44344</v>
      </c>
      <c r="C112" s="357"/>
      <c r="D112" s="358" t="s">
        <v>301</v>
      </c>
      <c r="E112" s="336"/>
      <c r="F112" s="337"/>
      <c r="G112" s="338"/>
      <c r="H112" s="371"/>
      <c r="I112" s="340"/>
      <c r="J112" s="362">
        <v>1901467</v>
      </c>
      <c r="K112" s="342"/>
      <c r="L112" s="334"/>
      <c r="N112" s="312"/>
    </row>
    <row r="113" spans="2:14" x14ac:dyDescent="0.2">
      <c r="B113" s="478"/>
      <c r="C113" s="357"/>
      <c r="D113" s="358"/>
      <c r="E113" s="336"/>
      <c r="F113" s="337"/>
      <c r="G113" s="338"/>
      <c r="H113" s="371"/>
      <c r="I113" s="340"/>
      <c r="J113" s="362"/>
      <c r="K113" s="342"/>
      <c r="L113" s="334"/>
      <c r="N113" s="312"/>
    </row>
    <row r="114" spans="2:14" x14ac:dyDescent="0.2">
      <c r="B114" s="478"/>
      <c r="C114" s="357"/>
      <c r="D114" s="358"/>
      <c r="E114" s="336"/>
      <c r="F114" s="337"/>
      <c r="G114" s="338"/>
      <c r="H114" s="371"/>
      <c r="I114" s="340"/>
      <c r="J114" s="341"/>
      <c r="K114" s="342"/>
      <c r="L114" s="334"/>
      <c r="N114" s="312"/>
    </row>
    <row r="115" spans="2:14" x14ac:dyDescent="0.2">
      <c r="B115" s="478"/>
      <c r="C115" s="357"/>
      <c r="D115" s="358"/>
      <c r="E115" s="336"/>
      <c r="F115" s="337"/>
      <c r="G115" s="338"/>
      <c r="H115" s="371"/>
      <c r="I115" s="340"/>
      <c r="J115" s="341"/>
      <c r="K115" s="342"/>
      <c r="L115" s="334"/>
      <c r="N115" s="312"/>
    </row>
    <row r="116" spans="2:14" x14ac:dyDescent="0.2">
      <c r="B116" s="477"/>
      <c r="C116" s="335"/>
      <c r="D116" s="352"/>
      <c r="E116" s="336"/>
      <c r="F116" s="337"/>
      <c r="G116" s="338"/>
      <c r="H116" s="371"/>
      <c r="I116" s="340"/>
      <c r="J116" s="341"/>
      <c r="K116" s="342"/>
      <c r="L116" s="334"/>
      <c r="N116" s="312"/>
    </row>
    <row r="117" spans="2:14" x14ac:dyDescent="0.2">
      <c r="B117" s="477"/>
      <c r="C117" s="335"/>
      <c r="D117" s="352"/>
      <c r="E117" s="336"/>
      <c r="F117" s="337"/>
      <c r="G117" s="338"/>
      <c r="H117" s="371"/>
      <c r="I117" s="340"/>
      <c r="J117" s="341"/>
      <c r="K117" s="342"/>
      <c r="L117" s="334"/>
      <c r="N117" s="312"/>
    </row>
    <row r="118" spans="2:14" x14ac:dyDescent="0.2">
      <c r="B118" s="477"/>
      <c r="C118" s="335"/>
      <c r="D118" s="352"/>
      <c r="E118" s="336"/>
      <c r="F118" s="337"/>
      <c r="G118" s="338"/>
      <c r="H118" s="371"/>
      <c r="I118" s="340"/>
      <c r="J118" s="341"/>
      <c r="K118" s="342"/>
      <c r="L118" s="334"/>
      <c r="N118" s="312"/>
    </row>
    <row r="119" spans="2:14" x14ac:dyDescent="0.2">
      <c r="B119" s="477"/>
      <c r="C119" s="335"/>
      <c r="D119" s="352"/>
      <c r="E119" s="336"/>
      <c r="F119" s="337"/>
      <c r="G119" s="338"/>
      <c r="H119" s="371"/>
      <c r="I119" s="340"/>
      <c r="J119" s="341"/>
      <c r="K119" s="342"/>
      <c r="L119" s="334"/>
      <c r="N119" s="312"/>
    </row>
    <row r="120" spans="2:14" x14ac:dyDescent="0.2">
      <c r="B120" s="477"/>
      <c r="C120" s="335"/>
      <c r="D120" s="352"/>
      <c r="E120" s="336"/>
      <c r="F120" s="337"/>
      <c r="G120" s="338"/>
      <c r="H120" s="371"/>
      <c r="I120" s="340"/>
      <c r="J120" s="341"/>
      <c r="K120" s="342"/>
      <c r="L120" s="334"/>
      <c r="N120" s="312"/>
    </row>
    <row r="121" spans="2:14" x14ac:dyDescent="0.2">
      <c r="B121" s="477"/>
      <c r="C121" s="335"/>
      <c r="D121" s="352"/>
      <c r="E121" s="336"/>
      <c r="F121" s="337"/>
      <c r="G121" s="338"/>
      <c r="H121" s="371"/>
      <c r="I121" s="340"/>
      <c r="J121" s="341"/>
      <c r="K121" s="342"/>
      <c r="L121" s="334"/>
      <c r="N121" s="312"/>
    </row>
    <row r="122" spans="2:14" x14ac:dyDescent="0.2">
      <c r="B122" s="477"/>
      <c r="C122" s="335"/>
      <c r="D122" s="352"/>
      <c r="E122" s="336"/>
      <c r="F122" s="337"/>
      <c r="G122" s="338"/>
      <c r="H122" s="371"/>
      <c r="I122" s="340"/>
      <c r="J122" s="341"/>
      <c r="K122" s="342"/>
      <c r="L122" s="334"/>
      <c r="N122" s="312"/>
    </row>
    <row r="123" spans="2:14" x14ac:dyDescent="0.2">
      <c r="B123" s="477"/>
      <c r="C123" s="335"/>
      <c r="D123" s="352"/>
      <c r="E123" s="336"/>
      <c r="F123" s="337"/>
      <c r="G123" s="338"/>
      <c r="H123" s="371"/>
      <c r="I123" s="340"/>
      <c r="J123" s="341"/>
      <c r="K123" s="342"/>
      <c r="L123" s="334"/>
      <c r="N123" s="312"/>
    </row>
    <row r="124" spans="2:14" x14ac:dyDescent="0.2">
      <c r="B124" s="477"/>
      <c r="C124" s="335"/>
      <c r="D124" s="352"/>
      <c r="E124" s="336"/>
      <c r="F124" s="337"/>
      <c r="G124" s="338"/>
      <c r="H124" s="371"/>
      <c r="I124" s="340"/>
      <c r="J124" s="341"/>
      <c r="K124" s="342"/>
      <c r="L124" s="334"/>
      <c r="N124" s="312"/>
    </row>
    <row r="125" spans="2:14" x14ac:dyDescent="0.2">
      <c r="B125" s="477"/>
      <c r="C125" s="335"/>
      <c r="D125" s="352"/>
      <c r="E125" s="336"/>
      <c r="F125" s="337"/>
      <c r="G125" s="338"/>
      <c r="H125" s="371"/>
      <c r="I125" s="340"/>
      <c r="J125" s="341"/>
      <c r="K125" s="342"/>
      <c r="L125" s="334"/>
      <c r="N125" s="312"/>
    </row>
    <row r="126" spans="2:14" x14ac:dyDescent="0.2">
      <c r="B126" s="477"/>
      <c r="C126" s="335"/>
      <c r="D126" s="352"/>
      <c r="E126" s="336"/>
      <c r="F126" s="337"/>
      <c r="G126" s="338"/>
      <c r="H126" s="371"/>
      <c r="I126" s="340"/>
      <c r="J126" s="341"/>
      <c r="K126" s="342"/>
      <c r="L126" s="334"/>
      <c r="N126" s="312"/>
    </row>
    <row r="127" spans="2:14" x14ac:dyDescent="0.2">
      <c r="B127" s="477"/>
      <c r="C127" s="335"/>
      <c r="D127" s="352"/>
      <c r="E127" s="336"/>
      <c r="F127" s="337"/>
      <c r="G127" s="338"/>
      <c r="H127" s="371"/>
      <c r="I127" s="340"/>
      <c r="J127" s="341"/>
      <c r="K127" s="342"/>
      <c r="L127" s="334"/>
      <c r="N127" s="312"/>
    </row>
    <row r="128" spans="2:14" x14ac:dyDescent="0.2">
      <c r="B128" s="477"/>
      <c r="C128" s="335"/>
      <c r="D128" s="352"/>
      <c r="E128" s="336"/>
      <c r="F128" s="337"/>
      <c r="G128" s="338"/>
      <c r="H128" s="371"/>
      <c r="I128" s="340"/>
      <c r="J128" s="341"/>
      <c r="K128" s="342"/>
      <c r="L128" s="334"/>
      <c r="N128" s="312"/>
    </row>
    <row r="129" spans="2:14" x14ac:dyDescent="0.2">
      <c r="B129" s="477"/>
      <c r="C129" s="335"/>
      <c r="D129" s="352"/>
      <c r="E129" s="336"/>
      <c r="F129" s="337"/>
      <c r="G129" s="338"/>
      <c r="H129" s="371"/>
      <c r="I129" s="340"/>
      <c r="J129" s="341"/>
      <c r="K129" s="342"/>
      <c r="L129" s="334"/>
      <c r="N129" s="312"/>
    </row>
    <row r="130" spans="2:14" x14ac:dyDescent="0.2">
      <c r="B130" s="477"/>
      <c r="C130" s="335"/>
      <c r="D130" s="352"/>
      <c r="E130" s="336"/>
      <c r="F130" s="337"/>
      <c r="G130" s="338"/>
      <c r="H130" s="371"/>
      <c r="I130" s="340"/>
      <c r="J130" s="341"/>
      <c r="K130" s="342"/>
      <c r="L130" s="334"/>
      <c r="N130" s="312"/>
    </row>
    <row r="131" spans="2:14" ht="15.75" x14ac:dyDescent="0.25">
      <c r="B131" s="474"/>
      <c r="C131" s="119">
        <v>2020110109</v>
      </c>
      <c r="D131" s="120" t="s">
        <v>20</v>
      </c>
      <c r="E131" s="121">
        <f>'PROYECCION 2021'!C18</f>
        <v>41330000</v>
      </c>
      <c r="F131" s="122">
        <f>SUM(F132:F170)</f>
        <v>0</v>
      </c>
      <c r="G131" s="122">
        <f>SUM(G132:G170)</f>
        <v>0</v>
      </c>
      <c r="H131" s="122">
        <f>SUM(H132:H170)</f>
        <v>0</v>
      </c>
      <c r="I131" s="123">
        <f>ROUND((E131+F131+G131-H131),1)</f>
        <v>41330000</v>
      </c>
      <c r="J131" s="224">
        <f>SUM(J132:J170)</f>
        <v>4956880</v>
      </c>
      <c r="K131" s="141">
        <f>I131-J131</f>
        <v>36373120</v>
      </c>
      <c r="L131" s="145">
        <f>K131</f>
        <v>36373120</v>
      </c>
      <c r="N131" s="312"/>
    </row>
    <row r="132" spans="2:14" x14ac:dyDescent="0.2">
      <c r="B132" s="477">
        <v>44305</v>
      </c>
      <c r="C132" s="343"/>
      <c r="D132" s="358" t="s">
        <v>275</v>
      </c>
      <c r="E132" s="336"/>
      <c r="F132" s="337"/>
      <c r="G132" s="338"/>
      <c r="H132" s="371"/>
      <c r="I132" s="340"/>
      <c r="J132" s="362">
        <v>1616111</v>
      </c>
      <c r="K132" s="334"/>
      <c r="L132" s="334"/>
      <c r="N132" s="312"/>
    </row>
    <row r="133" spans="2:14" x14ac:dyDescent="0.2">
      <c r="B133" s="477">
        <v>44305</v>
      </c>
      <c r="C133" s="343"/>
      <c r="D133" s="358" t="s">
        <v>276</v>
      </c>
      <c r="E133" s="336"/>
      <c r="F133" s="337"/>
      <c r="G133" s="338"/>
      <c r="H133" s="371"/>
      <c r="I133" s="340"/>
      <c r="J133" s="362">
        <v>134772</v>
      </c>
      <c r="K133" s="334"/>
      <c r="L133" s="334"/>
      <c r="N133" s="312"/>
    </row>
    <row r="134" spans="2:14" x14ac:dyDescent="0.2">
      <c r="B134" s="477">
        <v>44305</v>
      </c>
      <c r="C134" s="343"/>
      <c r="D134" s="358" t="s">
        <v>278</v>
      </c>
      <c r="E134" s="336"/>
      <c r="F134" s="337"/>
      <c r="G134" s="338"/>
      <c r="H134" s="371"/>
      <c r="I134" s="340"/>
      <c r="J134" s="362">
        <v>179548</v>
      </c>
      <c r="K134" s="334"/>
      <c r="L134" s="334"/>
      <c r="N134" s="312"/>
    </row>
    <row r="135" spans="2:14" x14ac:dyDescent="0.2">
      <c r="B135" s="478">
        <v>44305</v>
      </c>
      <c r="C135" s="357"/>
      <c r="D135" s="358" t="s">
        <v>279</v>
      </c>
      <c r="E135" s="359"/>
      <c r="F135" s="337"/>
      <c r="G135" s="338"/>
      <c r="H135" s="371"/>
      <c r="I135" s="340"/>
      <c r="J135" s="362">
        <v>18759</v>
      </c>
      <c r="K135" s="334"/>
      <c r="L135" s="334"/>
      <c r="N135" s="312"/>
    </row>
    <row r="136" spans="2:14" x14ac:dyDescent="0.2">
      <c r="B136" s="597">
        <v>44344</v>
      </c>
      <c r="C136" s="357"/>
      <c r="D136" s="358" t="s">
        <v>303</v>
      </c>
      <c r="E136" s="359"/>
      <c r="F136" s="337"/>
      <c r="G136" s="338"/>
      <c r="H136" s="371"/>
      <c r="I136" s="340"/>
      <c r="J136" s="362">
        <v>2782032</v>
      </c>
      <c r="K136" s="334"/>
      <c r="L136" s="334"/>
      <c r="N136" s="312"/>
    </row>
    <row r="137" spans="2:14" x14ac:dyDescent="0.2">
      <c r="B137" s="597">
        <v>44344</v>
      </c>
      <c r="C137" s="357"/>
      <c r="D137" s="358" t="s">
        <v>302</v>
      </c>
      <c r="E137" s="359"/>
      <c r="F137" s="337"/>
      <c r="G137" s="338"/>
      <c r="H137" s="371"/>
      <c r="I137" s="340"/>
      <c r="J137" s="362">
        <v>225658</v>
      </c>
      <c r="K137" s="334"/>
      <c r="L137" s="334"/>
      <c r="N137" s="312"/>
    </row>
    <row r="138" spans="2:14" x14ac:dyDescent="0.2">
      <c r="B138" s="597"/>
      <c r="C138" s="357"/>
      <c r="D138" s="358"/>
      <c r="E138" s="359"/>
      <c r="F138" s="337"/>
      <c r="G138" s="338"/>
      <c r="H138" s="371"/>
      <c r="I138" s="340"/>
      <c r="J138" s="362"/>
      <c r="K138" s="334"/>
      <c r="L138" s="334"/>
      <c r="N138" s="312"/>
    </row>
    <row r="139" spans="2:14" x14ac:dyDescent="0.2">
      <c r="B139" s="597"/>
      <c r="C139" s="357"/>
      <c r="D139" s="358"/>
      <c r="E139" s="359"/>
      <c r="F139" s="337"/>
      <c r="G139" s="338"/>
      <c r="H139" s="371"/>
      <c r="I139" s="340"/>
      <c r="J139" s="341"/>
      <c r="K139" s="334"/>
      <c r="L139" s="334"/>
      <c r="N139" s="312"/>
    </row>
    <row r="140" spans="2:14" x14ac:dyDescent="0.2">
      <c r="B140" s="597"/>
      <c r="C140" s="357"/>
      <c r="D140" s="358"/>
      <c r="E140" s="359"/>
      <c r="F140" s="337"/>
      <c r="G140" s="338"/>
      <c r="H140" s="371"/>
      <c r="I140" s="340"/>
      <c r="J140" s="341"/>
      <c r="K140" s="334"/>
      <c r="L140" s="334"/>
      <c r="N140" s="312"/>
    </row>
    <row r="141" spans="2:14" x14ac:dyDescent="0.2">
      <c r="B141" s="597"/>
      <c r="C141" s="357"/>
      <c r="D141" s="358"/>
      <c r="E141" s="359"/>
      <c r="F141" s="337"/>
      <c r="G141" s="338"/>
      <c r="H141" s="371"/>
      <c r="I141" s="340"/>
      <c r="J141" s="341"/>
      <c r="K141" s="334"/>
      <c r="L141" s="334"/>
      <c r="N141" s="312"/>
    </row>
    <row r="142" spans="2:14" x14ac:dyDescent="0.2">
      <c r="B142" s="597"/>
      <c r="C142" s="357"/>
      <c r="D142" s="358"/>
      <c r="E142" s="359"/>
      <c r="F142" s="337"/>
      <c r="G142" s="338"/>
      <c r="H142" s="371"/>
      <c r="I142" s="340"/>
      <c r="J142" s="341"/>
      <c r="K142" s="334"/>
      <c r="L142" s="334"/>
      <c r="N142" s="312"/>
    </row>
    <row r="143" spans="2:14" x14ac:dyDescent="0.2">
      <c r="B143" s="479"/>
      <c r="C143" s="343"/>
      <c r="D143" s="356"/>
      <c r="E143" s="336"/>
      <c r="F143" s="337"/>
      <c r="G143" s="338"/>
      <c r="H143" s="371"/>
      <c r="I143" s="340"/>
      <c r="J143" s="341"/>
      <c r="K143" s="334"/>
      <c r="L143" s="334"/>
      <c r="N143" s="312"/>
    </row>
    <row r="144" spans="2:14" x14ac:dyDescent="0.2">
      <c r="B144" s="479"/>
      <c r="C144" s="343"/>
      <c r="D144" s="356"/>
      <c r="E144" s="336"/>
      <c r="F144" s="337"/>
      <c r="G144" s="338"/>
      <c r="H144" s="371"/>
      <c r="I144" s="340"/>
      <c r="J144" s="341"/>
      <c r="K144" s="334"/>
      <c r="L144" s="334"/>
      <c r="N144" s="312"/>
    </row>
    <row r="145" spans="2:14" x14ac:dyDescent="0.2">
      <c r="B145" s="479"/>
      <c r="C145" s="343"/>
      <c r="D145" s="356"/>
      <c r="E145" s="336"/>
      <c r="F145" s="337"/>
      <c r="G145" s="338"/>
      <c r="H145" s="371"/>
      <c r="I145" s="340"/>
      <c r="J145" s="341"/>
      <c r="K145" s="334"/>
      <c r="L145" s="334"/>
      <c r="N145" s="312"/>
    </row>
    <row r="146" spans="2:14" x14ac:dyDescent="0.2">
      <c r="B146" s="479"/>
      <c r="C146" s="343"/>
      <c r="D146" s="356"/>
      <c r="E146" s="336"/>
      <c r="F146" s="337"/>
      <c r="G146" s="338"/>
      <c r="H146" s="371"/>
      <c r="I146" s="340"/>
      <c r="J146" s="341"/>
      <c r="K146" s="334"/>
      <c r="L146" s="334"/>
      <c r="N146" s="312"/>
    </row>
    <row r="147" spans="2:14" x14ac:dyDescent="0.2">
      <c r="B147" s="479"/>
      <c r="C147" s="343"/>
      <c r="D147" s="356"/>
      <c r="E147" s="336"/>
      <c r="F147" s="337"/>
      <c r="G147" s="338"/>
      <c r="H147" s="371"/>
      <c r="I147" s="340"/>
      <c r="J147" s="341"/>
      <c r="K147" s="334"/>
      <c r="L147" s="334"/>
      <c r="N147" s="312"/>
    </row>
    <row r="148" spans="2:14" x14ac:dyDescent="0.2">
      <c r="B148" s="479"/>
      <c r="C148" s="343"/>
      <c r="D148" s="356"/>
      <c r="E148" s="336"/>
      <c r="F148" s="337"/>
      <c r="G148" s="338"/>
      <c r="H148" s="371"/>
      <c r="I148" s="340"/>
      <c r="J148" s="341"/>
      <c r="K148" s="334"/>
      <c r="L148" s="334"/>
      <c r="N148" s="312"/>
    </row>
    <row r="149" spans="2:14" x14ac:dyDescent="0.2">
      <c r="B149" s="479"/>
      <c r="C149" s="343"/>
      <c r="D149" s="356"/>
      <c r="E149" s="336"/>
      <c r="F149" s="337"/>
      <c r="G149" s="338"/>
      <c r="H149" s="371"/>
      <c r="I149" s="340"/>
      <c r="J149" s="341"/>
      <c r="K149" s="334"/>
      <c r="L149" s="334"/>
      <c r="N149" s="312"/>
    </row>
    <row r="150" spans="2:14" x14ac:dyDescent="0.2">
      <c r="B150" s="479"/>
      <c r="C150" s="343"/>
      <c r="D150" s="356"/>
      <c r="E150" s="336"/>
      <c r="F150" s="337"/>
      <c r="G150" s="338"/>
      <c r="H150" s="371"/>
      <c r="I150" s="340"/>
      <c r="J150" s="341"/>
      <c r="K150" s="334"/>
      <c r="L150" s="334"/>
      <c r="N150" s="312"/>
    </row>
    <row r="151" spans="2:14" x14ac:dyDescent="0.2">
      <c r="B151" s="479"/>
      <c r="C151" s="343"/>
      <c r="D151" s="356"/>
      <c r="E151" s="336"/>
      <c r="F151" s="337"/>
      <c r="G151" s="338"/>
      <c r="H151" s="371"/>
      <c r="I151" s="340"/>
      <c r="J151" s="341"/>
      <c r="K151" s="334"/>
      <c r="L151" s="334"/>
      <c r="N151" s="312"/>
    </row>
    <row r="152" spans="2:14" x14ac:dyDescent="0.2">
      <c r="B152" s="479"/>
      <c r="C152" s="343"/>
      <c r="D152" s="356"/>
      <c r="E152" s="336"/>
      <c r="F152" s="337"/>
      <c r="G152" s="338"/>
      <c r="H152" s="371"/>
      <c r="I152" s="340"/>
      <c r="J152" s="341"/>
      <c r="K152" s="334"/>
      <c r="L152" s="334"/>
      <c r="N152" s="312"/>
    </row>
    <row r="153" spans="2:14" x14ac:dyDescent="0.2">
      <c r="B153" s="479"/>
      <c r="C153" s="343"/>
      <c r="D153" s="356"/>
      <c r="E153" s="336"/>
      <c r="F153" s="337"/>
      <c r="G153" s="338"/>
      <c r="H153" s="371"/>
      <c r="I153" s="340"/>
      <c r="J153" s="341"/>
      <c r="K153" s="334"/>
      <c r="L153" s="334"/>
      <c r="N153" s="312"/>
    </row>
    <row r="154" spans="2:14" x14ac:dyDescent="0.2">
      <c r="B154" s="479"/>
      <c r="C154" s="343"/>
      <c r="D154" s="356"/>
      <c r="E154" s="336"/>
      <c r="F154" s="337"/>
      <c r="G154" s="338"/>
      <c r="H154" s="371"/>
      <c r="I154" s="340"/>
      <c r="J154" s="341"/>
      <c r="K154" s="334"/>
      <c r="L154" s="334"/>
      <c r="N154" s="312"/>
    </row>
    <row r="155" spans="2:14" x14ac:dyDescent="0.2">
      <c r="B155" s="479"/>
      <c r="C155" s="343"/>
      <c r="D155" s="356"/>
      <c r="E155" s="336"/>
      <c r="F155" s="337"/>
      <c r="G155" s="338"/>
      <c r="H155" s="371"/>
      <c r="I155" s="340"/>
      <c r="J155" s="341"/>
      <c r="K155" s="334"/>
      <c r="L155" s="334"/>
      <c r="N155" s="312"/>
    </row>
    <row r="156" spans="2:14" x14ac:dyDescent="0.2">
      <c r="B156" s="479"/>
      <c r="C156" s="343"/>
      <c r="D156" s="356"/>
      <c r="E156" s="336"/>
      <c r="F156" s="337"/>
      <c r="G156" s="338"/>
      <c r="H156" s="371"/>
      <c r="I156" s="340"/>
      <c r="J156" s="341"/>
      <c r="K156" s="334"/>
      <c r="L156" s="334"/>
      <c r="N156" s="312"/>
    </row>
    <row r="157" spans="2:14" x14ac:dyDescent="0.2">
      <c r="B157" s="479"/>
      <c r="C157" s="343"/>
      <c r="D157" s="356"/>
      <c r="E157" s="336"/>
      <c r="F157" s="337"/>
      <c r="G157" s="338"/>
      <c r="H157" s="371"/>
      <c r="I157" s="340"/>
      <c r="J157" s="341"/>
      <c r="K157" s="334"/>
      <c r="L157" s="334"/>
      <c r="N157" s="312"/>
    </row>
    <row r="158" spans="2:14" x14ac:dyDescent="0.2">
      <c r="B158" s="479"/>
      <c r="C158" s="343"/>
      <c r="D158" s="356"/>
      <c r="E158" s="336"/>
      <c r="F158" s="337"/>
      <c r="G158" s="338"/>
      <c r="H158" s="371"/>
      <c r="I158" s="340"/>
      <c r="J158" s="341"/>
      <c r="K158" s="334"/>
      <c r="L158" s="334"/>
      <c r="N158" s="312"/>
    </row>
    <row r="159" spans="2:14" x14ac:dyDescent="0.2">
      <c r="B159" s="479"/>
      <c r="C159" s="343"/>
      <c r="D159" s="356"/>
      <c r="E159" s="336"/>
      <c r="F159" s="337"/>
      <c r="G159" s="338"/>
      <c r="H159" s="371"/>
      <c r="I159" s="340"/>
      <c r="J159" s="341"/>
      <c r="K159" s="334"/>
      <c r="L159" s="334"/>
      <c r="N159" s="312"/>
    </row>
    <row r="160" spans="2:14" x14ac:dyDescent="0.2">
      <c r="B160" s="479"/>
      <c r="C160" s="343"/>
      <c r="D160" s="356"/>
      <c r="E160" s="336"/>
      <c r="F160" s="337"/>
      <c r="G160" s="338"/>
      <c r="H160" s="371"/>
      <c r="I160" s="340"/>
      <c r="J160" s="341"/>
      <c r="K160" s="334"/>
      <c r="L160" s="334"/>
      <c r="N160" s="312"/>
    </row>
    <row r="161" spans="2:14" x14ac:dyDescent="0.2">
      <c r="B161" s="479"/>
      <c r="C161" s="343"/>
      <c r="D161" s="356"/>
      <c r="E161" s="336"/>
      <c r="F161" s="337"/>
      <c r="G161" s="338"/>
      <c r="H161" s="371"/>
      <c r="I161" s="340"/>
      <c r="J161" s="341"/>
      <c r="K161" s="334"/>
      <c r="L161" s="334"/>
      <c r="N161" s="312"/>
    </row>
    <row r="162" spans="2:14" x14ac:dyDescent="0.2">
      <c r="B162" s="479"/>
      <c r="C162" s="343"/>
      <c r="D162" s="356"/>
      <c r="E162" s="336"/>
      <c r="F162" s="337"/>
      <c r="G162" s="338"/>
      <c r="H162" s="371"/>
      <c r="I162" s="340"/>
      <c r="J162" s="341"/>
      <c r="K162" s="334"/>
      <c r="L162" s="334"/>
      <c r="N162" s="312"/>
    </row>
    <row r="163" spans="2:14" x14ac:dyDescent="0.2">
      <c r="B163" s="479"/>
      <c r="C163" s="343"/>
      <c r="D163" s="356"/>
      <c r="E163" s="336"/>
      <c r="F163" s="337"/>
      <c r="G163" s="338"/>
      <c r="H163" s="371"/>
      <c r="I163" s="340"/>
      <c r="J163" s="341"/>
      <c r="K163" s="334"/>
      <c r="L163" s="334"/>
      <c r="N163" s="312"/>
    </row>
    <row r="164" spans="2:14" x14ac:dyDescent="0.2">
      <c r="B164" s="479"/>
      <c r="C164" s="343"/>
      <c r="D164" s="356"/>
      <c r="E164" s="336"/>
      <c r="F164" s="337"/>
      <c r="G164" s="338"/>
      <c r="H164" s="371"/>
      <c r="I164" s="340"/>
      <c r="J164" s="341"/>
      <c r="K164" s="334"/>
      <c r="L164" s="334"/>
      <c r="N164" s="312"/>
    </row>
    <row r="165" spans="2:14" x14ac:dyDescent="0.2">
      <c r="B165" s="479"/>
      <c r="C165" s="343"/>
      <c r="D165" s="356"/>
      <c r="E165" s="336"/>
      <c r="F165" s="337"/>
      <c r="G165" s="338"/>
      <c r="H165" s="371"/>
      <c r="I165" s="340"/>
      <c r="J165" s="341"/>
      <c r="K165" s="334"/>
      <c r="L165" s="334"/>
      <c r="N165" s="312"/>
    </row>
    <row r="166" spans="2:14" x14ac:dyDescent="0.2">
      <c r="B166" s="479"/>
      <c r="C166" s="343"/>
      <c r="D166" s="356"/>
      <c r="E166" s="336"/>
      <c r="F166" s="337"/>
      <c r="G166" s="338"/>
      <c r="H166" s="371"/>
      <c r="I166" s="340"/>
      <c r="J166" s="341"/>
      <c r="K166" s="334"/>
      <c r="L166" s="334"/>
      <c r="N166" s="312"/>
    </row>
    <row r="167" spans="2:14" x14ac:dyDescent="0.2">
      <c r="B167" s="479"/>
      <c r="C167" s="343"/>
      <c r="D167" s="356"/>
      <c r="E167" s="336"/>
      <c r="F167" s="337"/>
      <c r="G167" s="338"/>
      <c r="H167" s="371"/>
      <c r="I167" s="340"/>
      <c r="J167" s="341"/>
      <c r="K167" s="334"/>
      <c r="L167" s="334"/>
      <c r="N167" s="312"/>
    </row>
    <row r="168" spans="2:14" x14ac:dyDescent="0.2">
      <c r="B168" s="479"/>
      <c r="C168" s="343"/>
      <c r="D168" s="356"/>
      <c r="E168" s="336"/>
      <c r="F168" s="337"/>
      <c r="G168" s="338"/>
      <c r="H168" s="371"/>
      <c r="I168" s="340"/>
      <c r="J168" s="341"/>
      <c r="K168" s="334"/>
      <c r="L168" s="334"/>
      <c r="N168" s="312"/>
    </row>
    <row r="169" spans="2:14" x14ac:dyDescent="0.2">
      <c r="B169" s="479"/>
      <c r="C169" s="343"/>
      <c r="D169" s="356"/>
      <c r="E169" s="336"/>
      <c r="F169" s="337"/>
      <c r="G169" s="338"/>
      <c r="H169" s="371"/>
      <c r="I169" s="340"/>
      <c r="J169" s="341"/>
      <c r="K169" s="334"/>
      <c r="L169" s="334"/>
      <c r="N169" s="312"/>
    </row>
    <row r="170" spans="2:14" x14ac:dyDescent="0.2">
      <c r="B170" s="476"/>
      <c r="C170" s="343"/>
      <c r="D170" s="356"/>
      <c r="E170" s="336"/>
      <c r="F170" s="337"/>
      <c r="G170" s="338"/>
      <c r="H170" s="371"/>
      <c r="I170" s="340"/>
      <c r="J170" s="341"/>
      <c r="K170" s="342"/>
      <c r="L170" s="334"/>
      <c r="N170" s="312"/>
    </row>
    <row r="171" spans="2:14" ht="15.75" x14ac:dyDescent="0.25">
      <c r="B171" s="474"/>
      <c r="C171" s="119">
        <v>2020110108</v>
      </c>
      <c r="D171" s="120" t="s">
        <v>21</v>
      </c>
      <c r="E171" s="121">
        <f>'PROYECCION 2021'!C19</f>
        <v>55000000</v>
      </c>
      <c r="F171" s="122">
        <f>SUM(F172:F181)</f>
        <v>0</v>
      </c>
      <c r="G171" s="122">
        <f>SUM(G172:G181)</f>
        <v>0</v>
      </c>
      <c r="H171" s="122">
        <f>SUM(H172:H181)</f>
        <v>0</v>
      </c>
      <c r="I171" s="123">
        <f>ROUND((E171+F171+G171-H171),1)</f>
        <v>55000000</v>
      </c>
      <c r="J171" s="224">
        <f>SUM(J172:J181)</f>
        <v>939517</v>
      </c>
      <c r="K171" s="141">
        <f>I171-J171</f>
        <v>54060483</v>
      </c>
      <c r="L171" s="145">
        <f>K171</f>
        <v>54060483</v>
      </c>
      <c r="N171" s="312"/>
    </row>
    <row r="172" spans="2:14" x14ac:dyDescent="0.2">
      <c r="B172" s="477">
        <v>44305</v>
      </c>
      <c r="C172" s="335"/>
      <c r="D172" s="358" t="s">
        <v>274</v>
      </c>
      <c r="E172" s="353"/>
      <c r="F172" s="337"/>
      <c r="G172" s="338"/>
      <c r="H172" s="364"/>
      <c r="I172" s="340"/>
      <c r="J172" s="362">
        <v>652366</v>
      </c>
      <c r="K172" s="342"/>
      <c r="L172" s="334"/>
      <c r="N172" s="312"/>
    </row>
    <row r="173" spans="2:14" x14ac:dyDescent="0.2">
      <c r="B173" s="477">
        <v>44305</v>
      </c>
      <c r="C173" s="335"/>
      <c r="D173" s="358" t="s">
        <v>277</v>
      </c>
      <c r="E173" s="353"/>
      <c r="F173" s="337"/>
      <c r="G173" s="338"/>
      <c r="H173" s="364"/>
      <c r="I173" s="340"/>
      <c r="J173" s="362">
        <v>287151</v>
      </c>
      <c r="K173" s="342"/>
      <c r="L173" s="334"/>
      <c r="N173" s="312"/>
    </row>
    <row r="174" spans="2:14" x14ac:dyDescent="0.2">
      <c r="B174" s="479"/>
      <c r="C174" s="343"/>
      <c r="D174" s="356"/>
      <c r="E174" s="353"/>
      <c r="F174" s="337"/>
      <c r="G174" s="338"/>
      <c r="H174" s="364"/>
      <c r="I174" s="340"/>
      <c r="J174" s="345"/>
      <c r="K174" s="342"/>
      <c r="L174" s="334"/>
      <c r="N174" s="312"/>
    </row>
    <row r="175" spans="2:14" x14ac:dyDescent="0.2">
      <c r="B175" s="475"/>
      <c r="C175" s="335"/>
      <c r="D175" s="146"/>
      <c r="E175" s="336"/>
      <c r="F175" s="337"/>
      <c r="G175" s="338"/>
      <c r="H175" s="364"/>
      <c r="I175" s="340"/>
      <c r="J175" s="345"/>
      <c r="K175" s="342"/>
      <c r="L175" s="334"/>
      <c r="N175" s="312"/>
    </row>
    <row r="176" spans="2:14" x14ac:dyDescent="0.2">
      <c r="B176" s="477"/>
      <c r="C176" s="335"/>
      <c r="D176" s="373"/>
      <c r="E176" s="336"/>
      <c r="F176" s="337"/>
      <c r="G176" s="338"/>
      <c r="H176" s="364"/>
      <c r="I176" s="340"/>
      <c r="J176" s="345"/>
      <c r="K176" s="342"/>
      <c r="L176" s="334"/>
      <c r="N176" s="312"/>
    </row>
    <row r="177" spans="2:18" x14ac:dyDescent="0.2">
      <c r="B177" s="477"/>
      <c r="C177" s="335"/>
      <c r="D177" s="352"/>
      <c r="E177" s="336"/>
      <c r="F177" s="337"/>
      <c r="G177" s="338"/>
      <c r="H177" s="364"/>
      <c r="I177" s="340"/>
      <c r="J177" s="341"/>
      <c r="K177" s="342"/>
      <c r="L177" s="334"/>
      <c r="N177" s="312"/>
    </row>
    <row r="178" spans="2:18" x14ac:dyDescent="0.2">
      <c r="B178" s="477"/>
      <c r="C178" s="335"/>
      <c r="D178" s="358"/>
      <c r="E178" s="336"/>
      <c r="F178" s="337"/>
      <c r="G178" s="338"/>
      <c r="H178" s="364"/>
      <c r="I178" s="340"/>
      <c r="J178" s="341"/>
      <c r="K178" s="342"/>
      <c r="L178" s="334"/>
      <c r="N178" s="312"/>
    </row>
    <row r="179" spans="2:18" x14ac:dyDescent="0.2">
      <c r="B179" s="477"/>
      <c r="C179" s="335"/>
      <c r="D179" s="352"/>
      <c r="E179" s="336"/>
      <c r="F179" s="337"/>
      <c r="G179" s="338"/>
      <c r="H179" s="364"/>
      <c r="I179" s="340"/>
      <c r="J179" s="341"/>
      <c r="K179" s="342"/>
      <c r="L179" s="334"/>
      <c r="N179" s="312"/>
    </row>
    <row r="180" spans="2:18" x14ac:dyDescent="0.2">
      <c r="B180" s="477"/>
      <c r="C180" s="335"/>
      <c r="D180" s="352"/>
      <c r="E180" s="336"/>
      <c r="F180" s="337"/>
      <c r="G180" s="338"/>
      <c r="H180" s="364"/>
      <c r="I180" s="340"/>
      <c r="J180" s="341"/>
      <c r="K180" s="342"/>
      <c r="L180" s="334"/>
      <c r="N180" s="312"/>
    </row>
    <row r="181" spans="2:18" x14ac:dyDescent="0.2">
      <c r="B181" s="476"/>
      <c r="C181" s="343"/>
      <c r="D181" s="356"/>
      <c r="E181" s="336"/>
      <c r="F181" s="337"/>
      <c r="G181" s="338"/>
      <c r="H181" s="364"/>
      <c r="I181" s="340"/>
      <c r="J181" s="341"/>
      <c r="K181" s="342"/>
      <c r="L181" s="334"/>
      <c r="N181" s="312"/>
    </row>
    <row r="182" spans="2:18" ht="15.75" x14ac:dyDescent="0.25">
      <c r="B182" s="480"/>
      <c r="C182" s="132" t="s">
        <v>22</v>
      </c>
      <c r="D182" s="374" t="s">
        <v>130</v>
      </c>
      <c r="E182" s="375">
        <f t="shared" ref="E182:J182" si="0">E183+E200+E213</f>
        <v>77000000</v>
      </c>
      <c r="F182" s="376">
        <f t="shared" si="0"/>
        <v>0</v>
      </c>
      <c r="G182" s="376">
        <f t="shared" si="0"/>
        <v>53700000</v>
      </c>
      <c r="H182" s="376">
        <f t="shared" si="0"/>
        <v>0</v>
      </c>
      <c r="I182" s="376">
        <f t="shared" si="0"/>
        <v>130700000</v>
      </c>
      <c r="J182" s="226">
        <f t="shared" si="0"/>
        <v>101000000</v>
      </c>
      <c r="K182" s="320">
        <f>I182-J182</f>
        <v>29700000</v>
      </c>
      <c r="L182" s="334"/>
      <c r="N182" s="312"/>
    </row>
    <row r="183" spans="2:18" ht="15.75" x14ac:dyDescent="0.25">
      <c r="B183" s="474"/>
      <c r="C183" s="119">
        <v>2020110201</v>
      </c>
      <c r="D183" s="120" t="s">
        <v>25</v>
      </c>
      <c r="E183" s="121">
        <f>'PROYECCION 2021'!C21</f>
        <v>60000000</v>
      </c>
      <c r="F183" s="122">
        <f>SUM(F184:F199)</f>
        <v>0</v>
      </c>
      <c r="G183" s="126">
        <f>SUM(G184:G199)</f>
        <v>31500000</v>
      </c>
      <c r="H183" s="126">
        <f>SUM(H184:H199)</f>
        <v>0</v>
      </c>
      <c r="I183" s="123">
        <f>E183+F183+G183-H183</f>
        <v>91500000</v>
      </c>
      <c r="J183" s="223">
        <f>SUM(J184:J199)</f>
        <v>67200000</v>
      </c>
      <c r="K183" s="141">
        <f>I183-J183</f>
        <v>24300000</v>
      </c>
      <c r="L183" s="145">
        <f>K183</f>
        <v>24300000</v>
      </c>
      <c r="N183" s="312"/>
    </row>
    <row r="184" spans="2:18" ht="15.75" x14ac:dyDescent="0.25">
      <c r="B184" s="476">
        <v>44221</v>
      </c>
      <c r="C184" s="343"/>
      <c r="D184" s="382" t="s">
        <v>189</v>
      </c>
      <c r="E184" s="377"/>
      <c r="F184" s="378"/>
      <c r="G184" s="379"/>
      <c r="H184" s="364"/>
      <c r="I184" s="340"/>
      <c r="J184" s="345">
        <v>16800000</v>
      </c>
      <c r="K184" s="342"/>
      <c r="L184" s="334"/>
      <c r="N184" s="312"/>
    </row>
    <row r="185" spans="2:18" ht="15.75" x14ac:dyDescent="0.25">
      <c r="B185" s="476">
        <v>44235</v>
      </c>
      <c r="C185" s="343"/>
      <c r="D185" s="382" t="s">
        <v>265</v>
      </c>
      <c r="E185" s="377"/>
      <c r="F185" s="378"/>
      <c r="G185" s="379"/>
      <c r="H185" s="364"/>
      <c r="I185" s="340"/>
      <c r="J185" s="362">
        <v>3400000</v>
      </c>
      <c r="K185" s="342"/>
      <c r="L185" s="334"/>
      <c r="N185" s="312"/>
      <c r="O185" s="599"/>
    </row>
    <row r="186" spans="2:18" x14ac:dyDescent="0.2">
      <c r="B186" s="476">
        <v>44264</v>
      </c>
      <c r="C186" s="343"/>
      <c r="D186" s="382" t="s">
        <v>256</v>
      </c>
      <c r="E186" s="336"/>
      <c r="F186" s="337"/>
      <c r="G186" s="370"/>
      <c r="H186" s="364"/>
      <c r="I186" s="340"/>
      <c r="J186" s="345">
        <v>8000000</v>
      </c>
      <c r="K186" s="342"/>
      <c r="L186" s="334"/>
      <c r="N186" s="601"/>
      <c r="O186" s="599"/>
    </row>
    <row r="187" spans="2:18" x14ac:dyDescent="0.2">
      <c r="B187" s="476">
        <v>44264</v>
      </c>
      <c r="C187" s="343"/>
      <c r="D187" s="382" t="s">
        <v>260</v>
      </c>
      <c r="E187" s="336"/>
      <c r="F187" s="337"/>
      <c r="G187" s="370"/>
      <c r="H187" s="364"/>
      <c r="I187" s="340"/>
      <c r="J187" s="345">
        <v>18000000</v>
      </c>
      <c r="K187" s="342"/>
      <c r="L187" s="334"/>
      <c r="N187" s="602"/>
      <c r="O187" s="599"/>
    </row>
    <row r="188" spans="2:18" x14ac:dyDescent="0.2">
      <c r="B188" s="476">
        <v>44279</v>
      </c>
      <c r="C188" s="343"/>
      <c r="D188" s="382" t="s">
        <v>266</v>
      </c>
      <c r="E188" s="336"/>
      <c r="F188" s="337"/>
      <c r="G188" s="370"/>
      <c r="H188" s="364"/>
      <c r="I188" s="340"/>
      <c r="J188" s="362">
        <v>2000000</v>
      </c>
      <c r="K188" s="342"/>
      <c r="L188" s="334"/>
      <c r="N188" s="312"/>
      <c r="O188" s="599"/>
    </row>
    <row r="189" spans="2:18" x14ac:dyDescent="0.2">
      <c r="B189" s="477">
        <v>44299</v>
      </c>
      <c r="C189" s="335"/>
      <c r="D189" s="146" t="s">
        <v>272</v>
      </c>
      <c r="E189" s="336"/>
      <c r="F189" s="337"/>
      <c r="G189" s="370">
        <v>20000000</v>
      </c>
      <c r="H189" s="364"/>
      <c r="I189" s="340"/>
      <c r="J189" s="362"/>
      <c r="K189" s="342"/>
      <c r="L189" s="334"/>
      <c r="M189" s="312"/>
      <c r="N189" s="312"/>
      <c r="O189" s="312"/>
    </row>
    <row r="190" spans="2:18" x14ac:dyDescent="0.2">
      <c r="B190" s="478">
        <v>44327</v>
      </c>
      <c r="C190" s="357"/>
      <c r="D190" s="358" t="s">
        <v>293</v>
      </c>
      <c r="E190" s="336"/>
      <c r="F190" s="337"/>
      <c r="G190" s="370"/>
      <c r="H190" s="364"/>
      <c r="I190" s="340"/>
      <c r="J190" s="362">
        <v>2000000</v>
      </c>
      <c r="K190" s="342"/>
      <c r="L190" s="334"/>
      <c r="M190" s="312"/>
      <c r="N190" s="312"/>
      <c r="O190" s="312"/>
      <c r="P190" s="599"/>
    </row>
    <row r="191" spans="2:18" x14ac:dyDescent="0.2">
      <c r="B191" s="478">
        <v>44337</v>
      </c>
      <c r="C191" s="357"/>
      <c r="D191" s="358" t="s">
        <v>297</v>
      </c>
      <c r="E191" s="336"/>
      <c r="F191" s="337"/>
      <c r="G191" s="370"/>
      <c r="H191" s="364"/>
      <c r="I191" s="340"/>
      <c r="J191" s="362">
        <v>3600000</v>
      </c>
      <c r="K191" s="342"/>
      <c r="L191" s="354"/>
      <c r="M191" s="312"/>
      <c r="N191" s="312"/>
      <c r="O191" s="601"/>
      <c r="P191" s="599"/>
    </row>
    <row r="192" spans="2:18" x14ac:dyDescent="0.2">
      <c r="B192" s="478">
        <v>44342</v>
      </c>
      <c r="C192" s="357"/>
      <c r="D192" s="358" t="s">
        <v>298</v>
      </c>
      <c r="E192" s="353"/>
      <c r="F192" s="337"/>
      <c r="G192" s="370"/>
      <c r="H192" s="364"/>
      <c r="I192" s="340"/>
      <c r="J192" s="362">
        <v>8400000</v>
      </c>
      <c r="K192" s="342"/>
      <c r="L192" s="334"/>
      <c r="M192" s="312"/>
      <c r="N192" s="601"/>
      <c r="O192" s="601"/>
      <c r="P192" s="601"/>
      <c r="Q192" s="312"/>
      <c r="R192" s="312"/>
    </row>
    <row r="193" spans="2:18" x14ac:dyDescent="0.2">
      <c r="B193" s="478">
        <v>44389</v>
      </c>
      <c r="C193" s="357"/>
      <c r="D193" s="358" t="s">
        <v>320</v>
      </c>
      <c r="E193" s="353"/>
      <c r="F193" s="337"/>
      <c r="G193" s="370"/>
      <c r="H193" s="364"/>
      <c r="I193" s="340"/>
      <c r="J193" s="362">
        <v>5000000</v>
      </c>
      <c r="K193" s="342"/>
      <c r="L193" s="334"/>
      <c r="M193" s="312"/>
      <c r="N193" s="601"/>
      <c r="O193" s="601"/>
      <c r="P193" s="601"/>
      <c r="Q193" s="613"/>
      <c r="R193" s="312"/>
    </row>
    <row r="194" spans="2:18" x14ac:dyDescent="0.2">
      <c r="B194" s="475">
        <v>44403</v>
      </c>
      <c r="C194" s="335"/>
      <c r="D194" s="352" t="s">
        <v>324</v>
      </c>
      <c r="E194" s="336"/>
      <c r="F194" s="337"/>
      <c r="G194" s="370">
        <v>11500000</v>
      </c>
      <c r="H194" s="364"/>
      <c r="I194" s="340"/>
      <c r="J194" s="345"/>
      <c r="K194" s="342"/>
      <c r="L194" s="334"/>
      <c r="M194" s="312"/>
      <c r="N194" s="613"/>
      <c r="O194" s="312"/>
      <c r="P194" s="312"/>
      <c r="Q194" s="613"/>
      <c r="R194" s="613"/>
    </row>
    <row r="195" spans="2:18" x14ac:dyDescent="0.2">
      <c r="B195" s="477"/>
      <c r="C195" s="335"/>
      <c r="D195" s="368"/>
      <c r="E195" s="336"/>
      <c r="F195" s="337"/>
      <c r="G195" s="370"/>
      <c r="H195" s="364"/>
      <c r="I195" s="340"/>
      <c r="J195" s="345"/>
      <c r="K195" s="342"/>
      <c r="L195" s="334"/>
      <c r="M195" s="312"/>
      <c r="N195" s="312"/>
      <c r="O195" s="312"/>
      <c r="P195" s="312"/>
      <c r="Q195" s="312"/>
      <c r="R195" s="312"/>
    </row>
    <row r="196" spans="2:18" x14ac:dyDescent="0.2">
      <c r="B196" s="476"/>
      <c r="C196" s="343"/>
      <c r="D196" s="382"/>
      <c r="E196" s="336"/>
      <c r="F196" s="337"/>
      <c r="G196" s="370"/>
      <c r="H196" s="364"/>
      <c r="I196" s="340"/>
      <c r="J196" s="341"/>
      <c r="K196" s="342"/>
      <c r="L196" s="334"/>
      <c r="M196" s="312"/>
      <c r="N196" s="312"/>
      <c r="O196" s="312"/>
    </row>
    <row r="197" spans="2:18" x14ac:dyDescent="0.2">
      <c r="B197" s="476"/>
      <c r="C197" s="343"/>
      <c r="D197" s="382"/>
      <c r="E197" s="336"/>
      <c r="F197" s="337"/>
      <c r="G197" s="370"/>
      <c r="H197" s="364"/>
      <c r="I197" s="340"/>
      <c r="J197" s="341"/>
      <c r="K197" s="342"/>
      <c r="L197" s="334"/>
      <c r="M197" s="312"/>
      <c r="N197" s="312"/>
      <c r="O197" s="312"/>
    </row>
    <row r="198" spans="2:18" x14ac:dyDescent="0.2">
      <c r="B198" s="476"/>
      <c r="C198" s="343"/>
      <c r="D198" s="382"/>
      <c r="E198" s="336"/>
      <c r="F198" s="337"/>
      <c r="G198" s="370"/>
      <c r="H198" s="364"/>
      <c r="I198" s="340"/>
      <c r="J198" s="341"/>
      <c r="K198" s="342"/>
      <c r="L198" s="334"/>
      <c r="N198" s="312"/>
    </row>
    <row r="199" spans="2:18" x14ac:dyDescent="0.2">
      <c r="B199" s="476"/>
      <c r="C199" s="343"/>
      <c r="D199" s="382"/>
      <c r="E199" s="336"/>
      <c r="F199" s="337"/>
      <c r="G199" s="370"/>
      <c r="H199" s="364"/>
      <c r="I199" s="340"/>
      <c r="J199" s="341"/>
      <c r="K199" s="342"/>
      <c r="L199" s="334"/>
      <c r="N199" s="312"/>
    </row>
    <row r="200" spans="2:18" s="135" customFormat="1" ht="15.75" x14ac:dyDescent="0.25">
      <c r="B200" s="474"/>
      <c r="C200" s="119">
        <v>2020110202</v>
      </c>
      <c r="D200" s="120" t="s">
        <v>27</v>
      </c>
      <c r="E200" s="121">
        <f>'PROYECCION 2021'!C22</f>
        <v>17000000</v>
      </c>
      <c r="F200" s="122">
        <f>SUM(F201:F204)</f>
        <v>0</v>
      </c>
      <c r="G200" s="122">
        <f>SUM(G201:G212)</f>
        <v>22200000</v>
      </c>
      <c r="H200" s="122">
        <f>SUM(H201:H204)</f>
        <v>0</v>
      </c>
      <c r="I200" s="123">
        <f>E200+F200+G200-H200</f>
        <v>39200000</v>
      </c>
      <c r="J200" s="223">
        <f>SUM(J201:J212)</f>
        <v>33800000</v>
      </c>
      <c r="K200" s="141">
        <f>I200-J200</f>
        <v>5400000</v>
      </c>
      <c r="L200" s="383"/>
      <c r="N200" s="603"/>
    </row>
    <row r="201" spans="2:18" x14ac:dyDescent="0.2">
      <c r="B201" s="475">
        <v>44221</v>
      </c>
      <c r="C201" s="335"/>
      <c r="D201" s="146" t="s">
        <v>190</v>
      </c>
      <c r="E201" s="353"/>
      <c r="F201" s="337"/>
      <c r="G201" s="370"/>
      <c r="H201" s="364"/>
      <c r="I201" s="348"/>
      <c r="J201" s="345">
        <v>5000000</v>
      </c>
      <c r="K201" s="349"/>
      <c r="L201" s="334"/>
      <c r="N201" s="312"/>
      <c r="O201" s="599"/>
      <c r="P201" s="630"/>
    </row>
    <row r="202" spans="2:18" x14ac:dyDescent="0.2">
      <c r="B202" s="475">
        <v>44221</v>
      </c>
      <c r="C202" s="335"/>
      <c r="D202" s="352" t="s">
        <v>286</v>
      </c>
      <c r="E202" s="353"/>
      <c r="F202" s="337"/>
      <c r="G202" s="370"/>
      <c r="H202" s="364"/>
      <c r="I202" s="348"/>
      <c r="J202" s="345">
        <v>3600000</v>
      </c>
      <c r="K202" s="349"/>
      <c r="L202" s="334"/>
      <c r="M202" s="312"/>
      <c r="N202" s="312"/>
      <c r="O202" s="601"/>
    </row>
    <row r="203" spans="2:18" x14ac:dyDescent="0.2">
      <c r="B203" s="477">
        <v>44236</v>
      </c>
      <c r="C203" s="335"/>
      <c r="D203" s="352" t="s">
        <v>206</v>
      </c>
      <c r="E203" s="353"/>
      <c r="F203" s="337"/>
      <c r="G203" s="370"/>
      <c r="H203" s="364"/>
      <c r="I203" s="348"/>
      <c r="J203" s="345">
        <v>3600000</v>
      </c>
      <c r="K203" s="349"/>
      <c r="L203" s="334"/>
      <c r="M203" s="312"/>
      <c r="N203" s="312"/>
      <c r="O203" s="601"/>
    </row>
    <row r="204" spans="2:18" x14ac:dyDescent="0.2">
      <c r="B204" s="478">
        <v>44299</v>
      </c>
      <c r="C204" s="357"/>
      <c r="D204" s="598" t="s">
        <v>272</v>
      </c>
      <c r="E204" s="353"/>
      <c r="F204" s="337"/>
      <c r="G204" s="370">
        <v>20000000</v>
      </c>
      <c r="H204" s="364"/>
      <c r="I204" s="348"/>
      <c r="J204" s="362"/>
      <c r="K204" s="349"/>
      <c r="L204" s="334"/>
      <c r="M204" s="312"/>
      <c r="N204" s="601"/>
      <c r="O204" s="312"/>
    </row>
    <row r="205" spans="2:18" x14ac:dyDescent="0.2">
      <c r="B205" s="478">
        <v>44299</v>
      </c>
      <c r="C205" s="357"/>
      <c r="D205" s="358" t="s">
        <v>287</v>
      </c>
      <c r="E205" s="353"/>
      <c r="F205" s="337"/>
      <c r="G205" s="370"/>
      <c r="H205" s="364"/>
      <c r="I205" s="348"/>
      <c r="J205" s="362">
        <v>5400000</v>
      </c>
      <c r="K205" s="349"/>
      <c r="L205" s="334"/>
      <c r="M205" s="312"/>
      <c r="N205" s="601"/>
      <c r="O205" s="613"/>
    </row>
    <row r="206" spans="2:18" x14ac:dyDescent="0.2">
      <c r="B206" s="478">
        <v>44313</v>
      </c>
      <c r="C206" s="357"/>
      <c r="D206" s="358" t="s">
        <v>282</v>
      </c>
      <c r="E206" s="353"/>
      <c r="F206" s="337"/>
      <c r="G206" s="370"/>
      <c r="H206" s="364"/>
      <c r="I206" s="348"/>
      <c r="J206" s="362">
        <v>3600000</v>
      </c>
      <c r="K206" s="349"/>
      <c r="L206" s="334"/>
      <c r="M206" s="312"/>
      <c r="N206" s="601"/>
      <c r="O206" s="613"/>
    </row>
    <row r="207" spans="2:18" x14ac:dyDescent="0.2">
      <c r="B207" s="475">
        <v>44403</v>
      </c>
      <c r="C207" s="335"/>
      <c r="D207" s="352" t="s">
        <v>324</v>
      </c>
      <c r="E207" s="353"/>
      <c r="F207" s="337"/>
      <c r="G207" s="370">
        <v>2200000</v>
      </c>
      <c r="H207" s="364"/>
      <c r="I207" s="348"/>
      <c r="J207" s="362"/>
      <c r="K207" s="349"/>
      <c r="L207" s="334"/>
      <c r="M207" s="312"/>
      <c r="N207" s="312"/>
      <c r="O207" s="312"/>
    </row>
    <row r="208" spans="2:18" x14ac:dyDescent="0.2">
      <c r="B208" s="478">
        <v>44403</v>
      </c>
      <c r="C208" s="357"/>
      <c r="D208" s="358" t="s">
        <v>325</v>
      </c>
      <c r="E208" s="353"/>
      <c r="F208" s="337"/>
      <c r="G208" s="370"/>
      <c r="H208" s="364"/>
      <c r="I208" s="348"/>
      <c r="J208" s="362">
        <v>9000000</v>
      </c>
      <c r="K208" s="349"/>
      <c r="L208" s="334"/>
      <c r="M208" s="312"/>
      <c r="N208" s="312"/>
      <c r="O208" s="312"/>
    </row>
    <row r="209" spans="2:14" x14ac:dyDescent="0.2">
      <c r="B209" s="478">
        <v>44403</v>
      </c>
      <c r="C209" s="357"/>
      <c r="D209" s="358" t="s">
        <v>326</v>
      </c>
      <c r="E209" s="353"/>
      <c r="F209" s="337"/>
      <c r="G209" s="370"/>
      <c r="H209" s="364"/>
      <c r="I209" s="348"/>
      <c r="J209" s="362">
        <v>3600000</v>
      </c>
      <c r="K209" s="349"/>
      <c r="L209" s="334"/>
      <c r="N209" s="312"/>
    </row>
    <row r="210" spans="2:14" x14ac:dyDescent="0.2">
      <c r="B210" s="478"/>
      <c r="C210" s="357"/>
      <c r="D210" s="358"/>
      <c r="E210" s="353"/>
      <c r="F210" s="337"/>
      <c r="G210" s="370"/>
      <c r="H210" s="364"/>
      <c r="I210" s="348"/>
      <c r="J210" s="362"/>
      <c r="K210" s="349"/>
      <c r="L210" s="334"/>
      <c r="N210" s="312"/>
    </row>
    <row r="211" spans="2:14" x14ac:dyDescent="0.2">
      <c r="B211" s="477"/>
      <c r="C211" s="335"/>
      <c r="D211" s="352"/>
      <c r="E211" s="353"/>
      <c r="F211" s="337"/>
      <c r="G211" s="370"/>
      <c r="H211" s="364"/>
      <c r="I211" s="348"/>
      <c r="J211" s="345"/>
      <c r="K211" s="349"/>
      <c r="L211" s="334"/>
      <c r="N211" s="312"/>
    </row>
    <row r="212" spans="2:14" x14ac:dyDescent="0.2">
      <c r="B212" s="477"/>
      <c r="C212" s="335"/>
      <c r="D212" s="352"/>
      <c r="E212" s="353"/>
      <c r="F212" s="337"/>
      <c r="G212" s="370"/>
      <c r="H212" s="364"/>
      <c r="I212" s="348"/>
      <c r="J212" s="345"/>
      <c r="K212" s="349"/>
      <c r="L212" s="334"/>
      <c r="N212" s="312"/>
    </row>
    <row r="213" spans="2:14" ht="15.75" x14ac:dyDescent="0.25">
      <c r="B213" s="482"/>
      <c r="C213" s="384" t="s">
        <v>28</v>
      </c>
      <c r="D213" s="119" t="s">
        <v>29</v>
      </c>
      <c r="E213" s="385">
        <v>0</v>
      </c>
      <c r="F213" s="386"/>
      <c r="G213" s="387"/>
      <c r="H213" s="387"/>
      <c r="I213" s="387">
        <f>E213+F213+G213-H213</f>
        <v>0</v>
      </c>
      <c r="J213" s="388"/>
      <c r="K213" s="389"/>
      <c r="L213" s="334"/>
      <c r="N213" s="312"/>
    </row>
    <row r="214" spans="2:14" ht="24" customHeight="1" x14ac:dyDescent="0.25">
      <c r="B214" s="483"/>
      <c r="C214" s="390"/>
      <c r="D214" s="391" t="s">
        <v>131</v>
      </c>
      <c r="E214" s="392">
        <f t="shared" ref="E214:K214" si="1">E215+E257</f>
        <v>185527607</v>
      </c>
      <c r="F214" s="392">
        <f t="shared" si="1"/>
        <v>0</v>
      </c>
      <c r="G214" s="392">
        <f t="shared" si="1"/>
        <v>30805400</v>
      </c>
      <c r="H214" s="392">
        <f t="shared" si="1"/>
        <v>400100</v>
      </c>
      <c r="I214" s="392">
        <f t="shared" si="1"/>
        <v>215932907</v>
      </c>
      <c r="J214" s="393">
        <f t="shared" si="1"/>
        <v>119352420</v>
      </c>
      <c r="K214" s="392">
        <f t="shared" si="1"/>
        <v>96580487</v>
      </c>
      <c r="L214" s="334"/>
      <c r="N214" s="312"/>
    </row>
    <row r="215" spans="2:14" ht="15.75" x14ac:dyDescent="0.25">
      <c r="B215" s="484"/>
      <c r="C215" s="132">
        <v>20201201</v>
      </c>
      <c r="D215" s="374" t="s">
        <v>132</v>
      </c>
      <c r="E215" s="226">
        <f t="shared" ref="E215:J215" si="2">E216+E227+E247+E256</f>
        <v>27300000</v>
      </c>
      <c r="F215" s="376">
        <f t="shared" si="2"/>
        <v>0</v>
      </c>
      <c r="G215" s="376">
        <f t="shared" si="2"/>
        <v>12587000</v>
      </c>
      <c r="H215" s="376">
        <f t="shared" si="2"/>
        <v>400100</v>
      </c>
      <c r="I215" s="226">
        <f t="shared" si="2"/>
        <v>39486900</v>
      </c>
      <c r="J215" s="226">
        <f t="shared" si="2"/>
        <v>28286900</v>
      </c>
      <c r="K215" s="394">
        <f>I215-J215</f>
        <v>11200000</v>
      </c>
      <c r="L215" s="334"/>
      <c r="N215" s="312"/>
    </row>
    <row r="216" spans="2:14" ht="15.75" x14ac:dyDescent="0.25">
      <c r="B216" s="474"/>
      <c r="C216" s="119" t="s">
        <v>32</v>
      </c>
      <c r="D216" s="119" t="s">
        <v>33</v>
      </c>
      <c r="E216" s="121">
        <f>'PROYECCION 2021'!C25</f>
        <v>6000000</v>
      </c>
      <c r="F216" s="122">
        <f>SUM(F217:F226)</f>
        <v>0</v>
      </c>
      <c r="G216" s="122">
        <f>SUM(G217:G226)</f>
        <v>0</v>
      </c>
      <c r="H216" s="122">
        <f>SUM(H217:H226)</f>
        <v>0</v>
      </c>
      <c r="I216" s="123">
        <f>E216+F216+G216-H216</f>
        <v>6000000</v>
      </c>
      <c r="J216" s="223">
        <f>SUM(J217:J226)</f>
        <v>0</v>
      </c>
      <c r="K216" s="141">
        <f>I216-J216</f>
        <v>6000000</v>
      </c>
      <c r="L216" s="334"/>
      <c r="N216" s="312"/>
    </row>
    <row r="217" spans="2:14" x14ac:dyDescent="0.2">
      <c r="B217" s="477"/>
      <c r="C217" s="335"/>
      <c r="D217" s="352"/>
      <c r="E217" s="336"/>
      <c r="F217" s="337"/>
      <c r="G217" s="338"/>
      <c r="H217" s="364"/>
      <c r="I217" s="340"/>
      <c r="J217" s="372"/>
      <c r="K217" s="342"/>
      <c r="L217" s="334"/>
      <c r="N217" s="312"/>
    </row>
    <row r="218" spans="2:14" x14ac:dyDescent="0.2">
      <c r="B218" s="477"/>
      <c r="C218" s="335"/>
      <c r="D218" s="352"/>
      <c r="E218" s="336"/>
      <c r="F218" s="337"/>
      <c r="G218" s="338"/>
      <c r="H218" s="364"/>
      <c r="I218" s="340"/>
      <c r="J218" s="341"/>
      <c r="K218" s="342"/>
      <c r="L218" s="334"/>
      <c r="N218" s="312"/>
    </row>
    <row r="219" spans="2:14" x14ac:dyDescent="0.2">
      <c r="B219" s="477"/>
      <c r="C219" s="335"/>
      <c r="D219" s="395"/>
      <c r="E219" s="336"/>
      <c r="F219" s="337"/>
      <c r="G219" s="338"/>
      <c r="H219" s="364"/>
      <c r="I219" s="340"/>
      <c r="J219" s="341"/>
      <c r="K219" s="342"/>
      <c r="L219" s="334"/>
      <c r="N219" s="312"/>
    </row>
    <row r="220" spans="2:14" x14ac:dyDescent="0.2">
      <c r="B220" s="477"/>
      <c r="C220" s="335"/>
      <c r="D220" s="343"/>
      <c r="E220" s="336"/>
      <c r="F220" s="337"/>
      <c r="G220" s="338"/>
      <c r="H220" s="364"/>
      <c r="I220" s="340"/>
      <c r="J220" s="341"/>
      <c r="K220" s="342"/>
      <c r="L220" s="334"/>
      <c r="N220" s="312"/>
    </row>
    <row r="221" spans="2:14" x14ac:dyDescent="0.2">
      <c r="B221" s="477"/>
      <c r="C221" s="335"/>
      <c r="D221" s="335"/>
      <c r="E221" s="336"/>
      <c r="F221" s="337"/>
      <c r="G221" s="338"/>
      <c r="H221" s="364"/>
      <c r="I221" s="340"/>
      <c r="J221" s="341"/>
      <c r="K221" s="342"/>
      <c r="L221" s="334"/>
      <c r="N221" s="312"/>
    </row>
    <row r="222" spans="2:14" x14ac:dyDescent="0.2">
      <c r="B222" s="477"/>
      <c r="C222" s="335"/>
      <c r="D222" s="335"/>
      <c r="E222" s="336"/>
      <c r="F222" s="337"/>
      <c r="G222" s="338"/>
      <c r="H222" s="364"/>
      <c r="I222" s="340"/>
      <c r="J222" s="341"/>
      <c r="K222" s="342"/>
      <c r="L222" s="334"/>
      <c r="N222" s="312"/>
    </row>
    <row r="223" spans="2:14" x14ac:dyDescent="0.2">
      <c r="B223" s="476"/>
      <c r="C223" s="343"/>
      <c r="D223" s="343"/>
      <c r="E223" s="336"/>
      <c r="F223" s="337"/>
      <c r="G223" s="338"/>
      <c r="H223" s="364"/>
      <c r="I223" s="340"/>
      <c r="J223" s="341"/>
      <c r="K223" s="342"/>
      <c r="L223" s="334"/>
      <c r="N223" s="312"/>
    </row>
    <row r="224" spans="2:14" x14ac:dyDescent="0.2">
      <c r="B224" s="476"/>
      <c r="C224" s="343"/>
      <c r="D224" s="343"/>
      <c r="E224" s="336"/>
      <c r="F224" s="337"/>
      <c r="G224" s="338"/>
      <c r="H224" s="364"/>
      <c r="I224" s="340"/>
      <c r="J224" s="341"/>
      <c r="K224" s="342"/>
      <c r="L224" s="334"/>
      <c r="N224" s="312"/>
    </row>
    <row r="225" spans="2:14" x14ac:dyDescent="0.2">
      <c r="B225" s="476"/>
      <c r="C225" s="343"/>
      <c r="D225" s="343"/>
      <c r="E225" s="336"/>
      <c r="F225" s="337"/>
      <c r="G225" s="338"/>
      <c r="H225" s="364"/>
      <c r="I225" s="340"/>
      <c r="J225" s="341"/>
      <c r="K225" s="342"/>
      <c r="L225" s="334"/>
      <c r="N225" s="312"/>
    </row>
    <row r="226" spans="2:14" x14ac:dyDescent="0.2">
      <c r="B226" s="476"/>
      <c r="C226" s="343"/>
      <c r="D226" s="343"/>
      <c r="E226" s="336"/>
      <c r="F226" s="337"/>
      <c r="G226" s="338"/>
      <c r="H226" s="364"/>
      <c r="I226" s="340"/>
      <c r="J226" s="341"/>
      <c r="K226" s="342"/>
      <c r="L226" s="334"/>
      <c r="N226" s="312"/>
    </row>
    <row r="227" spans="2:14" ht="15.75" x14ac:dyDescent="0.25">
      <c r="B227" s="474"/>
      <c r="C227" s="119">
        <v>2020120102</v>
      </c>
      <c r="D227" s="119" t="s">
        <v>35</v>
      </c>
      <c r="E227" s="121">
        <f>'PROYECCION 2021'!C26</f>
        <v>20000000</v>
      </c>
      <c r="F227" s="131">
        <f>SUM(F228:F244)</f>
        <v>0</v>
      </c>
      <c r="G227" s="131">
        <f>SUM(G228:G244)</f>
        <v>12287000</v>
      </c>
      <c r="H227" s="131">
        <f>SUM(H228:H246)</f>
        <v>0</v>
      </c>
      <c r="I227" s="123">
        <f>E227+F227+G227-H227</f>
        <v>32287000</v>
      </c>
      <c r="J227" s="223">
        <f>SUM(J228:J246)</f>
        <v>27087000</v>
      </c>
      <c r="K227" s="141">
        <f>I227-J227</f>
        <v>5200000</v>
      </c>
      <c r="L227" s="145">
        <f>K227</f>
        <v>5200000</v>
      </c>
      <c r="N227" s="312"/>
    </row>
    <row r="228" spans="2:14" x14ac:dyDescent="0.2">
      <c r="B228" s="476">
        <v>44223</v>
      </c>
      <c r="C228" s="343"/>
      <c r="D228" s="396" t="s">
        <v>191</v>
      </c>
      <c r="E228" s="336"/>
      <c r="F228" s="397"/>
      <c r="G228" s="338"/>
      <c r="H228" s="364"/>
      <c r="I228" s="340"/>
      <c r="J228" s="345">
        <v>1300000</v>
      </c>
      <c r="K228" s="349"/>
      <c r="L228" s="146"/>
      <c r="N228" s="312"/>
    </row>
    <row r="229" spans="2:14" x14ac:dyDescent="0.2">
      <c r="B229" s="476">
        <v>44239</v>
      </c>
      <c r="C229" s="343"/>
      <c r="D229" s="334" t="s">
        <v>207</v>
      </c>
      <c r="E229" s="336"/>
      <c r="F229" s="397"/>
      <c r="G229" s="338"/>
      <c r="H229" s="364"/>
      <c r="I229" s="340"/>
      <c r="J229" s="345">
        <v>17991039</v>
      </c>
      <c r="K229" s="349"/>
      <c r="L229" s="146"/>
      <c r="N229" s="312"/>
    </row>
    <row r="230" spans="2:14" x14ac:dyDescent="0.2">
      <c r="B230" s="476">
        <v>44260</v>
      </c>
      <c r="C230" s="343"/>
      <c r="D230" s="396" t="s">
        <v>253</v>
      </c>
      <c r="E230" s="336"/>
      <c r="F230" s="397"/>
      <c r="G230" s="338">
        <v>10000000</v>
      </c>
      <c r="H230" s="364"/>
      <c r="I230" s="340"/>
      <c r="J230" s="345"/>
      <c r="K230" s="349"/>
      <c r="L230" s="146"/>
      <c r="N230" s="312"/>
    </row>
    <row r="231" spans="2:14" x14ac:dyDescent="0.2">
      <c r="B231" s="476">
        <v>44260</v>
      </c>
      <c r="C231" s="343"/>
      <c r="D231" s="396" t="s">
        <v>268</v>
      </c>
      <c r="E231" s="336"/>
      <c r="F231" s="397"/>
      <c r="G231" s="338"/>
      <c r="H231" s="364"/>
      <c r="I231" s="340"/>
      <c r="J231" s="345">
        <v>1295961</v>
      </c>
      <c r="K231" s="349"/>
      <c r="L231" s="146"/>
      <c r="N231" s="601"/>
    </row>
    <row r="232" spans="2:14" x14ac:dyDescent="0.2">
      <c r="B232" s="476">
        <v>44291</v>
      </c>
      <c r="C232" s="343"/>
      <c r="D232" s="396" t="s">
        <v>269</v>
      </c>
      <c r="E232" s="336"/>
      <c r="F232" s="397"/>
      <c r="G232" s="338"/>
      <c r="H232" s="364"/>
      <c r="I232" s="340"/>
      <c r="J232" s="362">
        <v>1300000</v>
      </c>
      <c r="K232" s="349"/>
      <c r="L232" s="146"/>
      <c r="N232" s="601"/>
    </row>
    <row r="233" spans="2:14" x14ac:dyDescent="0.2">
      <c r="B233" s="478">
        <v>44319</v>
      </c>
      <c r="C233" s="357"/>
      <c r="D233" s="357" t="s">
        <v>283</v>
      </c>
      <c r="E233" s="336"/>
      <c r="F233" s="397"/>
      <c r="G233" s="338"/>
      <c r="H233" s="364"/>
      <c r="I233" s="340"/>
      <c r="J233" s="362">
        <v>1300000</v>
      </c>
      <c r="K233" s="349"/>
      <c r="L233" s="146"/>
      <c r="N233" s="601"/>
    </row>
    <row r="234" spans="2:14" x14ac:dyDescent="0.2">
      <c r="B234" s="478">
        <v>44348</v>
      </c>
      <c r="C234" s="357"/>
      <c r="D234" s="357" t="s">
        <v>304</v>
      </c>
      <c r="E234" s="336"/>
      <c r="F234" s="397"/>
      <c r="G234" s="338"/>
      <c r="H234" s="364"/>
      <c r="I234" s="340"/>
      <c r="J234" s="362">
        <v>1300000</v>
      </c>
      <c r="K234" s="349"/>
      <c r="L234" s="146"/>
      <c r="N234" s="312"/>
    </row>
    <row r="235" spans="2:14" x14ac:dyDescent="0.2">
      <c r="B235" s="478">
        <v>44378</v>
      </c>
      <c r="C235" s="357"/>
      <c r="D235" s="357" t="s">
        <v>314</v>
      </c>
      <c r="E235" s="336"/>
      <c r="F235" s="397"/>
      <c r="G235" s="338"/>
      <c r="H235" s="364"/>
      <c r="I235" s="340"/>
      <c r="J235" s="614">
        <v>1300000</v>
      </c>
      <c r="K235" s="349"/>
      <c r="L235" s="146"/>
      <c r="N235" s="601"/>
    </row>
    <row r="236" spans="2:14" x14ac:dyDescent="0.2">
      <c r="B236" s="475">
        <v>44403</v>
      </c>
      <c r="C236" s="335"/>
      <c r="D236" s="352" t="s">
        <v>324</v>
      </c>
      <c r="E236" s="353"/>
      <c r="F236" s="397"/>
      <c r="G236" s="338">
        <v>2287000</v>
      </c>
      <c r="H236" s="364"/>
      <c r="I236" s="340"/>
      <c r="J236" s="341"/>
      <c r="K236" s="349"/>
      <c r="L236" s="146"/>
      <c r="N236" s="312"/>
    </row>
    <row r="237" spans="2:14" x14ac:dyDescent="0.2">
      <c r="B237" s="645">
        <v>44410</v>
      </c>
      <c r="C237" s="646"/>
      <c r="D237" s="646" t="s">
        <v>327</v>
      </c>
      <c r="E237" s="353"/>
      <c r="F237" s="397"/>
      <c r="G237" s="338"/>
      <c r="H237" s="364"/>
      <c r="I237" s="340"/>
      <c r="J237" s="649">
        <v>1300000</v>
      </c>
      <c r="K237" s="349"/>
      <c r="L237" s="146"/>
    </row>
    <row r="238" spans="2:14" ht="15.75" x14ac:dyDescent="0.25">
      <c r="B238" s="481"/>
      <c r="C238" s="380"/>
      <c r="D238" s="380"/>
      <c r="E238" s="353"/>
      <c r="F238" s="397"/>
      <c r="G238" s="338"/>
      <c r="H238" s="364"/>
      <c r="I238" s="340"/>
      <c r="J238" s="345"/>
      <c r="K238" s="349"/>
      <c r="L238" s="146"/>
      <c r="N238" s="312"/>
    </row>
    <row r="239" spans="2:14" x14ac:dyDescent="0.2">
      <c r="B239" s="477"/>
      <c r="C239" s="335"/>
      <c r="D239" s="352"/>
      <c r="E239" s="353"/>
      <c r="F239" s="397"/>
      <c r="G239" s="338"/>
      <c r="H239" s="364"/>
      <c r="I239" s="340"/>
      <c r="J239" s="345"/>
      <c r="K239" s="349"/>
      <c r="L239" s="146"/>
      <c r="N239" s="312"/>
    </row>
    <row r="240" spans="2:14" x14ac:dyDescent="0.2">
      <c r="B240" s="477"/>
      <c r="C240" s="335"/>
      <c r="D240" s="335"/>
      <c r="E240" s="353"/>
      <c r="F240" s="397"/>
      <c r="G240" s="338"/>
      <c r="H240" s="364"/>
      <c r="I240" s="340"/>
      <c r="J240" s="341"/>
      <c r="K240" s="342"/>
      <c r="L240" s="334"/>
      <c r="N240" s="312"/>
    </row>
    <row r="241" spans="2:14" ht="15.75" x14ac:dyDescent="0.25">
      <c r="B241" s="476"/>
      <c r="C241" s="343"/>
      <c r="D241" s="380"/>
      <c r="E241" s="336"/>
      <c r="F241" s="397"/>
      <c r="G241" s="338"/>
      <c r="H241" s="364"/>
      <c r="I241" s="340"/>
      <c r="J241" s="341"/>
      <c r="K241" s="342"/>
      <c r="L241" s="334"/>
      <c r="N241" s="312"/>
    </row>
    <row r="242" spans="2:14" ht="15.75" x14ac:dyDescent="0.25">
      <c r="B242" s="478"/>
      <c r="C242" s="357"/>
      <c r="D242" s="596"/>
      <c r="E242" s="336"/>
      <c r="F242" s="397"/>
      <c r="G242" s="338"/>
      <c r="H242" s="364"/>
      <c r="I242" s="340"/>
      <c r="J242" s="341"/>
      <c r="K242" s="342"/>
      <c r="L242" s="334"/>
      <c r="N242" s="312"/>
    </row>
    <row r="243" spans="2:14" x14ac:dyDescent="0.2">
      <c r="B243" s="476"/>
      <c r="C243" s="343"/>
      <c r="D243" s="396"/>
      <c r="E243" s="336"/>
      <c r="F243" s="397"/>
      <c r="G243" s="338"/>
      <c r="H243" s="364"/>
      <c r="I243" s="340"/>
      <c r="J243" s="341"/>
      <c r="K243" s="342"/>
      <c r="L243" s="334"/>
      <c r="N243" s="312"/>
    </row>
    <row r="244" spans="2:14" x14ac:dyDescent="0.2">
      <c r="B244" s="476"/>
      <c r="C244" s="343"/>
      <c r="D244" s="396"/>
      <c r="E244" s="336"/>
      <c r="F244" s="397"/>
      <c r="G244" s="338"/>
      <c r="H244" s="364"/>
      <c r="I244" s="340"/>
      <c r="J244" s="341"/>
      <c r="K244" s="342"/>
      <c r="L244" s="334"/>
      <c r="N244" s="312"/>
    </row>
    <row r="245" spans="2:14" x14ac:dyDescent="0.2">
      <c r="B245" s="476"/>
      <c r="C245" s="343"/>
      <c r="D245" s="396"/>
      <c r="E245" s="336"/>
      <c r="F245" s="397"/>
      <c r="G245" s="338"/>
      <c r="H245" s="364"/>
      <c r="I245" s="340"/>
      <c r="J245" s="341"/>
      <c r="K245" s="342"/>
      <c r="L245" s="334"/>
      <c r="N245" s="312"/>
    </row>
    <row r="246" spans="2:14" x14ac:dyDescent="0.2">
      <c r="B246" s="476"/>
      <c r="C246" s="343"/>
      <c r="D246" s="343"/>
      <c r="E246" s="336"/>
      <c r="F246" s="397"/>
      <c r="G246" s="338"/>
      <c r="H246" s="364"/>
      <c r="I246" s="340"/>
      <c r="J246" s="341"/>
      <c r="K246" s="342"/>
      <c r="L246" s="334"/>
      <c r="N246" s="312"/>
    </row>
    <row r="247" spans="2:14" ht="15.75" x14ac:dyDescent="0.25">
      <c r="B247" s="474"/>
      <c r="C247" s="119">
        <v>2020120104</v>
      </c>
      <c r="D247" s="119" t="s">
        <v>37</v>
      </c>
      <c r="E247" s="121">
        <f>'PROYECCION 2021'!C27</f>
        <v>1300000</v>
      </c>
      <c r="F247" s="122">
        <f>SUM(F248:F255)</f>
        <v>0</v>
      </c>
      <c r="G247" s="122">
        <f>SUM(G248:G255)</f>
        <v>300000</v>
      </c>
      <c r="H247" s="122">
        <f>SUM(H248:H255)</f>
        <v>400100</v>
      </c>
      <c r="I247" s="123">
        <f>E247+F247+G247-H247</f>
        <v>1199900</v>
      </c>
      <c r="J247" s="224">
        <f>SUM(J248:J255)</f>
        <v>1199900</v>
      </c>
      <c r="K247" s="141">
        <f>I247-J247</f>
        <v>0</v>
      </c>
      <c r="L247" s="334"/>
      <c r="N247" s="312"/>
    </row>
    <row r="248" spans="2:14" x14ac:dyDescent="0.2">
      <c r="B248" s="477">
        <v>44299</v>
      </c>
      <c r="C248" s="335"/>
      <c r="D248" s="352" t="s">
        <v>272</v>
      </c>
      <c r="E248" s="336"/>
      <c r="F248" s="337"/>
      <c r="G248" s="338">
        <v>300000</v>
      </c>
      <c r="H248" s="364"/>
      <c r="I248" s="340"/>
      <c r="J248" s="362"/>
      <c r="K248" s="342"/>
      <c r="L248" s="334"/>
      <c r="N248" s="312"/>
    </row>
    <row r="249" spans="2:14" x14ac:dyDescent="0.2">
      <c r="B249" s="478">
        <v>44302</v>
      </c>
      <c r="C249" s="357"/>
      <c r="D249" s="357" t="s">
        <v>273</v>
      </c>
      <c r="E249" s="336"/>
      <c r="F249" s="337"/>
      <c r="G249" s="338"/>
      <c r="H249" s="364"/>
      <c r="I249" s="340"/>
      <c r="J249" s="362">
        <v>1600000</v>
      </c>
      <c r="K249" s="342"/>
      <c r="L249" s="334"/>
      <c r="N249" s="312"/>
    </row>
    <row r="250" spans="2:14" x14ac:dyDescent="0.2">
      <c r="B250" s="641">
        <v>44369</v>
      </c>
      <c r="C250" s="642"/>
      <c r="D250" s="642" t="s">
        <v>317</v>
      </c>
      <c r="E250" s="336"/>
      <c r="F250" s="337"/>
      <c r="G250" s="338"/>
      <c r="H250" s="364"/>
      <c r="I250" s="340"/>
      <c r="J250" s="612">
        <v>-400100</v>
      </c>
      <c r="K250" s="342"/>
      <c r="L250" s="334"/>
      <c r="N250" s="312"/>
    </row>
    <row r="251" spans="2:14" x14ac:dyDescent="0.2">
      <c r="B251" s="475">
        <v>44403</v>
      </c>
      <c r="C251" s="335"/>
      <c r="D251" s="352" t="s">
        <v>324</v>
      </c>
      <c r="E251" s="336"/>
      <c r="F251" s="337"/>
      <c r="G251" s="338"/>
      <c r="H251" s="364">
        <v>400100</v>
      </c>
      <c r="I251" s="340"/>
      <c r="J251" s="341"/>
      <c r="K251" s="342"/>
      <c r="L251" s="334"/>
      <c r="N251" s="312"/>
    </row>
    <row r="252" spans="2:14" x14ac:dyDescent="0.2">
      <c r="B252" s="476"/>
      <c r="C252" s="343"/>
      <c r="D252" s="343"/>
      <c r="E252" s="336"/>
      <c r="F252" s="337"/>
      <c r="G252" s="338"/>
      <c r="H252" s="364"/>
      <c r="I252" s="340"/>
      <c r="J252" s="341"/>
      <c r="K252" s="342"/>
      <c r="L252" s="334"/>
      <c r="N252" s="312"/>
    </row>
    <row r="253" spans="2:14" x14ac:dyDescent="0.2">
      <c r="B253" s="476"/>
      <c r="C253" s="343"/>
      <c r="D253" s="343"/>
      <c r="E253" s="336"/>
      <c r="F253" s="337"/>
      <c r="G253" s="338"/>
      <c r="H253" s="364"/>
      <c r="I253" s="340"/>
      <c r="J253" s="341"/>
      <c r="K253" s="342"/>
      <c r="L253" s="334"/>
      <c r="N253" s="312"/>
    </row>
    <row r="254" spans="2:14" x14ac:dyDescent="0.2">
      <c r="B254" s="476"/>
      <c r="C254" s="343"/>
      <c r="D254" s="343"/>
      <c r="E254" s="336"/>
      <c r="F254" s="337"/>
      <c r="G254" s="338"/>
      <c r="H254" s="364"/>
      <c r="I254" s="340"/>
      <c r="J254" s="341"/>
      <c r="K254" s="342"/>
      <c r="L254" s="334"/>
      <c r="N254" s="312"/>
    </row>
    <row r="255" spans="2:14" x14ac:dyDescent="0.2">
      <c r="B255" s="476"/>
      <c r="C255" s="343"/>
      <c r="D255" s="343"/>
      <c r="E255" s="336"/>
      <c r="F255" s="337"/>
      <c r="G255" s="338"/>
      <c r="H255" s="364"/>
      <c r="I255" s="340"/>
      <c r="J255" s="341"/>
      <c r="K255" s="342"/>
      <c r="L255" s="334"/>
      <c r="N255" s="312"/>
    </row>
    <row r="256" spans="2:14" ht="15.75" x14ac:dyDescent="0.25">
      <c r="B256" s="474"/>
      <c r="C256" s="119" t="s">
        <v>38</v>
      </c>
      <c r="D256" s="119" t="s">
        <v>39</v>
      </c>
      <c r="E256" s="121">
        <v>0</v>
      </c>
      <c r="F256" s="122">
        <v>0</v>
      </c>
      <c r="G256" s="123">
        <v>0</v>
      </c>
      <c r="H256" s="123">
        <v>0</v>
      </c>
      <c r="I256" s="123">
        <f>E256+F256+G256-H256</f>
        <v>0</v>
      </c>
      <c r="J256" s="223"/>
      <c r="K256" s="142"/>
      <c r="L256" s="334"/>
      <c r="N256" s="312"/>
    </row>
    <row r="257" spans="2:15" ht="15.75" x14ac:dyDescent="0.2">
      <c r="B257" s="484"/>
      <c r="C257" s="132" t="s">
        <v>40</v>
      </c>
      <c r="D257" s="133" t="s">
        <v>133</v>
      </c>
      <c r="E257" s="134">
        <f t="shared" ref="E257:K257" si="3">E258+E280+E378+E398+E412+E450+E481+E494+E498+E507+E517+E524+E530+E535+E539+E543</f>
        <v>158227607</v>
      </c>
      <c r="F257" s="134">
        <f t="shared" si="3"/>
        <v>0</v>
      </c>
      <c r="G257" s="134">
        <f t="shared" si="3"/>
        <v>18218400</v>
      </c>
      <c r="H257" s="134">
        <f t="shared" si="3"/>
        <v>0</v>
      </c>
      <c r="I257" s="134">
        <f t="shared" si="3"/>
        <v>176446007</v>
      </c>
      <c r="J257" s="399">
        <f t="shared" si="3"/>
        <v>91065520</v>
      </c>
      <c r="K257" s="134">
        <f t="shared" si="3"/>
        <v>85380487</v>
      </c>
      <c r="L257" s="334"/>
      <c r="N257" s="312"/>
    </row>
    <row r="258" spans="2:15" ht="15.75" x14ac:dyDescent="0.25">
      <c r="B258" s="474"/>
      <c r="C258" s="119">
        <v>2020120201</v>
      </c>
      <c r="D258" s="119" t="s">
        <v>43</v>
      </c>
      <c r="E258" s="121">
        <f>'PROYECCION 2021'!C30</f>
        <v>9400000</v>
      </c>
      <c r="F258" s="131">
        <f>SUM(F259:F279)</f>
        <v>0</v>
      </c>
      <c r="G258" s="131">
        <f>SUM(G259:G279)</f>
        <v>6000000</v>
      </c>
      <c r="H258" s="131">
        <f>SUM(H259:H279)</f>
        <v>0</v>
      </c>
      <c r="I258" s="123">
        <f>E258+F258+G258-H258</f>
        <v>15400000</v>
      </c>
      <c r="J258" s="225">
        <f>SUM(J259:J279)</f>
        <v>9800000</v>
      </c>
      <c r="K258" s="141">
        <f>I258-J258</f>
        <v>5600000</v>
      </c>
      <c r="L258" s="145">
        <f>K258</f>
        <v>5600000</v>
      </c>
      <c r="N258" s="312"/>
    </row>
    <row r="259" spans="2:15" x14ac:dyDescent="0.2">
      <c r="B259" s="476">
        <v>44223</v>
      </c>
      <c r="C259" s="343"/>
      <c r="D259" s="396" t="s">
        <v>191</v>
      </c>
      <c r="E259" s="336"/>
      <c r="F259" s="397"/>
      <c r="G259" s="370"/>
      <c r="H259" s="364"/>
      <c r="I259" s="340"/>
      <c r="J259" s="341">
        <v>1400000</v>
      </c>
      <c r="K259" s="342"/>
      <c r="L259" s="334"/>
      <c r="N259" s="312"/>
    </row>
    <row r="260" spans="2:15" x14ac:dyDescent="0.2">
      <c r="B260" s="476">
        <v>44260</v>
      </c>
      <c r="C260" s="343"/>
      <c r="D260" s="352" t="s">
        <v>255</v>
      </c>
      <c r="E260" s="336"/>
      <c r="F260" s="397"/>
      <c r="G260" s="370"/>
      <c r="H260" s="364"/>
      <c r="I260" s="340"/>
      <c r="J260" s="345">
        <v>1400000</v>
      </c>
      <c r="K260" s="352"/>
      <c r="L260" s="334"/>
      <c r="N260" s="312"/>
    </row>
    <row r="261" spans="2:15" x14ac:dyDescent="0.2">
      <c r="B261" s="476">
        <v>44291</v>
      </c>
      <c r="C261" s="343"/>
      <c r="D261" s="396" t="s">
        <v>269</v>
      </c>
      <c r="E261" s="336"/>
      <c r="F261" s="397"/>
      <c r="G261" s="370"/>
      <c r="H261" s="364"/>
      <c r="I261" s="340"/>
      <c r="J261" s="362">
        <v>1400000</v>
      </c>
      <c r="K261" s="352"/>
      <c r="L261" s="334"/>
      <c r="N261" s="312"/>
      <c r="O261" s="312"/>
    </row>
    <row r="262" spans="2:15" x14ac:dyDescent="0.2">
      <c r="B262" s="477">
        <v>44299</v>
      </c>
      <c r="C262" s="335"/>
      <c r="D262" s="146" t="s">
        <v>272</v>
      </c>
      <c r="E262" s="336"/>
      <c r="F262" s="397"/>
      <c r="G262" s="370">
        <v>3000000</v>
      </c>
      <c r="H262" s="364"/>
      <c r="I262" s="340"/>
      <c r="J262" s="345"/>
      <c r="K262" s="352"/>
      <c r="L262" s="341"/>
      <c r="N262" s="602"/>
      <c r="O262" s="312"/>
    </row>
    <row r="263" spans="2:15" x14ac:dyDescent="0.2">
      <c r="B263" s="478">
        <v>44319</v>
      </c>
      <c r="C263" s="357"/>
      <c r="D263" s="357" t="s">
        <v>283</v>
      </c>
      <c r="E263" s="336"/>
      <c r="F263" s="397"/>
      <c r="G263" s="370"/>
      <c r="H263" s="364"/>
      <c r="I263" s="340"/>
      <c r="J263" s="362">
        <v>1400000</v>
      </c>
      <c r="K263" s="352"/>
      <c r="L263" s="341"/>
      <c r="N263" s="601"/>
      <c r="O263" s="312"/>
    </row>
    <row r="264" spans="2:15" x14ac:dyDescent="0.2">
      <c r="B264" s="478">
        <v>44348</v>
      </c>
      <c r="C264" s="357"/>
      <c r="D264" s="357" t="s">
        <v>304</v>
      </c>
      <c r="E264" s="336"/>
      <c r="F264" s="397"/>
      <c r="G264" s="370"/>
      <c r="H264" s="364"/>
      <c r="I264" s="340"/>
      <c r="J264" s="362">
        <v>1400000</v>
      </c>
      <c r="K264" s="352"/>
      <c r="L264" s="354"/>
      <c r="N264" s="601"/>
      <c r="O264" s="312"/>
    </row>
    <row r="265" spans="2:15" x14ac:dyDescent="0.2">
      <c r="B265" s="478">
        <v>44378</v>
      </c>
      <c r="C265" s="357"/>
      <c r="D265" s="357" t="s">
        <v>314</v>
      </c>
      <c r="E265" s="336"/>
      <c r="F265" s="397"/>
      <c r="G265" s="370"/>
      <c r="H265" s="364"/>
      <c r="I265" s="340"/>
      <c r="J265" s="362">
        <v>1400000</v>
      </c>
      <c r="K265" s="352"/>
      <c r="L265" s="334"/>
      <c r="N265" s="601"/>
      <c r="O265" s="312"/>
    </row>
    <row r="266" spans="2:15" x14ac:dyDescent="0.2">
      <c r="B266" s="475">
        <v>44403</v>
      </c>
      <c r="C266" s="335"/>
      <c r="D266" s="352" t="s">
        <v>324</v>
      </c>
      <c r="E266" s="336"/>
      <c r="F266" s="397"/>
      <c r="G266" s="370">
        <v>3000000</v>
      </c>
      <c r="H266" s="364"/>
      <c r="I266" s="340"/>
      <c r="J266" s="345"/>
      <c r="K266" s="352"/>
      <c r="L266" s="334"/>
      <c r="N266" s="312"/>
      <c r="O266" s="312"/>
    </row>
    <row r="267" spans="2:15" x14ac:dyDescent="0.2">
      <c r="B267" s="645">
        <v>44410</v>
      </c>
      <c r="C267" s="646"/>
      <c r="D267" s="646" t="s">
        <v>327</v>
      </c>
      <c r="E267" s="336"/>
      <c r="F267" s="397"/>
      <c r="G267" s="370"/>
      <c r="H267" s="364"/>
      <c r="I267" s="340"/>
      <c r="J267" s="648">
        <v>1400000</v>
      </c>
      <c r="K267" s="352"/>
      <c r="L267" s="334"/>
      <c r="N267" s="601"/>
    </row>
    <row r="268" spans="2:15" ht="15.75" x14ac:dyDescent="0.25">
      <c r="B268" s="481"/>
      <c r="C268" s="380"/>
      <c r="D268" s="352"/>
      <c r="E268" s="336"/>
      <c r="F268" s="397"/>
      <c r="G268" s="370"/>
      <c r="H268" s="364"/>
      <c r="I268" s="340"/>
      <c r="J268" s="345"/>
      <c r="K268" s="352"/>
      <c r="L268" s="334"/>
      <c r="N268" s="312"/>
    </row>
    <row r="269" spans="2:15" x14ac:dyDescent="0.2">
      <c r="B269" s="477"/>
      <c r="C269" s="335"/>
      <c r="D269" s="352"/>
      <c r="E269" s="336"/>
      <c r="F269" s="397"/>
      <c r="G269" s="370"/>
      <c r="H269" s="364"/>
      <c r="I269" s="340"/>
      <c r="J269" s="345"/>
      <c r="K269" s="352"/>
      <c r="L269" s="334"/>
      <c r="N269" s="312"/>
    </row>
    <row r="270" spans="2:15" x14ac:dyDescent="0.2">
      <c r="B270" s="476"/>
      <c r="C270" s="343"/>
      <c r="D270" s="352"/>
      <c r="E270" s="336"/>
      <c r="F270" s="397"/>
      <c r="G270" s="370"/>
      <c r="H270" s="364"/>
      <c r="I270" s="340"/>
      <c r="J270" s="345"/>
      <c r="K270" s="352"/>
      <c r="L270" s="334"/>
      <c r="N270" s="312"/>
    </row>
    <row r="271" spans="2:15" x14ac:dyDescent="0.2">
      <c r="B271" s="476"/>
      <c r="C271" s="343"/>
      <c r="D271" s="352"/>
      <c r="E271" s="336"/>
      <c r="F271" s="397"/>
      <c r="G271" s="370"/>
      <c r="H271" s="364"/>
      <c r="I271" s="340"/>
      <c r="J271" s="345"/>
      <c r="K271" s="352"/>
      <c r="L271" s="334"/>
      <c r="N271" s="312"/>
    </row>
    <row r="272" spans="2:15" x14ac:dyDescent="0.2">
      <c r="B272" s="476"/>
      <c r="C272" s="343"/>
      <c r="D272" s="352"/>
      <c r="E272" s="336"/>
      <c r="F272" s="397"/>
      <c r="G272" s="370"/>
      <c r="H272" s="364"/>
      <c r="I272" s="340"/>
      <c r="J272" s="345"/>
      <c r="K272" s="352"/>
      <c r="L272" s="334"/>
      <c r="N272" s="312"/>
    </row>
    <row r="273" spans="1:14" x14ac:dyDescent="0.2">
      <c r="B273" s="476"/>
      <c r="C273" s="343"/>
      <c r="D273" s="352"/>
      <c r="E273" s="336"/>
      <c r="F273" s="397"/>
      <c r="G273" s="370"/>
      <c r="H273" s="364"/>
      <c r="I273" s="340"/>
      <c r="J273" s="345"/>
      <c r="K273" s="352"/>
      <c r="L273" s="334"/>
      <c r="N273" s="312"/>
    </row>
    <row r="274" spans="1:14" x14ac:dyDescent="0.2">
      <c r="B274" s="476"/>
      <c r="C274" s="343"/>
      <c r="D274" s="352"/>
      <c r="E274" s="336"/>
      <c r="F274" s="397"/>
      <c r="G274" s="370"/>
      <c r="H274" s="364"/>
      <c r="I274" s="340"/>
      <c r="J274" s="345"/>
      <c r="K274" s="352"/>
      <c r="L274" s="334"/>
      <c r="N274" s="312"/>
    </row>
    <row r="275" spans="1:14" x14ac:dyDescent="0.2">
      <c r="B275" s="476"/>
      <c r="C275" s="343"/>
      <c r="D275" s="343"/>
      <c r="E275" s="336"/>
      <c r="F275" s="397"/>
      <c r="G275" s="370"/>
      <c r="H275" s="364"/>
      <c r="I275" s="340"/>
      <c r="J275" s="341"/>
      <c r="K275" s="342"/>
      <c r="L275" s="334"/>
      <c r="N275" s="312"/>
    </row>
    <row r="276" spans="1:14" x14ac:dyDescent="0.2">
      <c r="B276" s="476"/>
      <c r="C276" s="343"/>
      <c r="D276" s="343"/>
      <c r="E276" s="336"/>
      <c r="F276" s="397"/>
      <c r="G276" s="370"/>
      <c r="H276" s="364"/>
      <c r="I276" s="340"/>
      <c r="J276" s="341"/>
      <c r="K276" s="342"/>
      <c r="L276" s="334"/>
      <c r="N276" s="312"/>
    </row>
    <row r="277" spans="1:14" x14ac:dyDescent="0.2">
      <c r="B277" s="476"/>
      <c r="C277" s="343"/>
      <c r="D277" s="343"/>
      <c r="E277" s="336"/>
      <c r="F277" s="397"/>
      <c r="G277" s="370"/>
      <c r="H277" s="364"/>
      <c r="I277" s="340"/>
      <c r="J277" s="341"/>
      <c r="K277" s="342"/>
      <c r="L277" s="334"/>
      <c r="N277" s="312"/>
    </row>
    <row r="278" spans="1:14" x14ac:dyDescent="0.2">
      <c r="B278" s="476"/>
      <c r="C278" s="343"/>
      <c r="D278" s="343"/>
      <c r="E278" s="336"/>
      <c r="F278" s="397"/>
      <c r="G278" s="370"/>
      <c r="H278" s="364"/>
      <c r="I278" s="340"/>
      <c r="J278" s="341"/>
      <c r="K278" s="342"/>
      <c r="L278" s="334"/>
      <c r="N278" s="312"/>
    </row>
    <row r="279" spans="1:14" x14ac:dyDescent="0.2">
      <c r="B279" s="476"/>
      <c r="C279" s="343"/>
      <c r="D279" s="343"/>
      <c r="E279" s="336"/>
      <c r="F279" s="397"/>
      <c r="G279" s="370"/>
      <c r="H279" s="364"/>
      <c r="I279" s="340"/>
      <c r="J279" s="341"/>
      <c r="K279" s="342"/>
      <c r="L279" s="334"/>
      <c r="N279" s="312"/>
    </row>
    <row r="280" spans="1:14" ht="15.75" x14ac:dyDescent="0.25">
      <c r="B280" s="474"/>
      <c r="C280" s="119">
        <v>2020120202</v>
      </c>
      <c r="D280" s="119" t="s">
        <v>44</v>
      </c>
      <c r="E280" s="121">
        <f>'PROYECCION 2021'!C31</f>
        <v>73027607</v>
      </c>
      <c r="F280" s="131">
        <f>SUM(F281:F377)</f>
        <v>0</v>
      </c>
      <c r="G280" s="131">
        <f>SUM(G281:G377)</f>
        <v>0</v>
      </c>
      <c r="H280" s="131">
        <f>SUM(H281:H377)</f>
        <v>0</v>
      </c>
      <c r="I280" s="123">
        <f>E280+F280+G280-H280</f>
        <v>73027607</v>
      </c>
      <c r="J280" s="225">
        <f>SUM(J281:J377)</f>
        <v>59385930</v>
      </c>
      <c r="K280" s="141">
        <f>I280-J280</f>
        <v>13641677</v>
      </c>
      <c r="L280" s="334"/>
      <c r="N280" s="312"/>
    </row>
    <row r="281" spans="1:14" ht="12.75" customHeight="1" x14ac:dyDescent="0.2">
      <c r="A281" s="13">
        <v>1</v>
      </c>
      <c r="B281" s="476">
        <v>43845</v>
      </c>
      <c r="C281" s="493" t="s">
        <v>181</v>
      </c>
      <c r="D281" s="343" t="s">
        <v>180</v>
      </c>
      <c r="E281" s="627"/>
      <c r="F281" s="397"/>
      <c r="G281" s="370"/>
      <c r="H281" s="364"/>
      <c r="I281" s="340"/>
      <c r="J281" s="345">
        <v>1049492</v>
      </c>
      <c r="K281" s="342"/>
      <c r="L281" s="334"/>
      <c r="N281" s="312"/>
    </row>
    <row r="282" spans="1:14" ht="12.75" customHeight="1" x14ac:dyDescent="0.2">
      <c r="B282" s="476"/>
      <c r="C282" s="493" t="s">
        <v>182</v>
      </c>
      <c r="D282" s="343" t="s">
        <v>180</v>
      </c>
      <c r="E282" s="627"/>
      <c r="F282" s="397"/>
      <c r="G282" s="370"/>
      <c r="H282" s="364"/>
      <c r="I282" s="340"/>
      <c r="J282" s="345">
        <v>150000</v>
      </c>
      <c r="K282" s="342"/>
      <c r="L282" s="334"/>
      <c r="N282" s="312"/>
    </row>
    <row r="283" spans="1:14" ht="12.75" customHeight="1" x14ac:dyDescent="0.2">
      <c r="A283" s="13">
        <v>2</v>
      </c>
      <c r="B283" s="476">
        <v>43845</v>
      </c>
      <c r="C283" s="493" t="s">
        <v>181</v>
      </c>
      <c r="D283" s="343" t="s">
        <v>183</v>
      </c>
      <c r="E283" s="336"/>
      <c r="F283" s="397"/>
      <c r="G283" s="370"/>
      <c r="H283" s="364"/>
      <c r="I283" s="340"/>
      <c r="J283" s="345">
        <v>407319</v>
      </c>
      <c r="K283" s="342"/>
      <c r="L283" s="354"/>
      <c r="N283" s="312"/>
    </row>
    <row r="284" spans="1:14" ht="12.75" customHeight="1" x14ac:dyDescent="0.2">
      <c r="A284" s="13">
        <v>3</v>
      </c>
      <c r="B284" s="476">
        <v>43845</v>
      </c>
      <c r="C284" s="493" t="s">
        <v>181</v>
      </c>
      <c r="D284" s="343" t="s">
        <v>184</v>
      </c>
      <c r="E284" s="336"/>
      <c r="F284" s="397"/>
      <c r="G284" s="370"/>
      <c r="H284" s="364"/>
      <c r="I284" s="340"/>
      <c r="J284" s="345">
        <v>407319</v>
      </c>
      <c r="K284" s="342"/>
      <c r="L284" s="354"/>
      <c r="N284" s="312"/>
    </row>
    <row r="285" spans="1:14" ht="12.75" customHeight="1" x14ac:dyDescent="0.2">
      <c r="A285" s="13">
        <v>4</v>
      </c>
      <c r="B285" s="476">
        <v>43845</v>
      </c>
      <c r="C285" s="493" t="s">
        <v>181</v>
      </c>
      <c r="D285" s="343" t="s">
        <v>185</v>
      </c>
      <c r="E285" s="336"/>
      <c r="F285" s="397"/>
      <c r="G285" s="370"/>
      <c r="H285" s="364"/>
      <c r="I285" s="340"/>
      <c r="J285" s="345">
        <v>314267</v>
      </c>
      <c r="K285" s="342"/>
      <c r="L285" s="354"/>
      <c r="N285" s="312"/>
    </row>
    <row r="286" spans="1:14" ht="12.75" customHeight="1" x14ac:dyDescent="0.2">
      <c r="A286" s="13">
        <v>5</v>
      </c>
      <c r="B286" s="476">
        <v>43845</v>
      </c>
      <c r="C286" s="493" t="s">
        <v>181</v>
      </c>
      <c r="D286" s="343" t="s">
        <v>186</v>
      </c>
      <c r="E286" s="336"/>
      <c r="F286" s="397"/>
      <c r="G286" s="370"/>
      <c r="H286" s="364"/>
      <c r="I286" s="340"/>
      <c r="J286" s="345">
        <v>314267</v>
      </c>
      <c r="K286" s="342"/>
      <c r="L286" s="334"/>
      <c r="N286" s="312"/>
    </row>
    <row r="287" spans="1:14" ht="12.75" customHeight="1" x14ac:dyDescent="0.2">
      <c r="A287" s="13">
        <v>6</v>
      </c>
      <c r="B287" s="476">
        <v>44232</v>
      </c>
      <c r="C287" s="493" t="s">
        <v>181</v>
      </c>
      <c r="D287" s="343" t="s">
        <v>180</v>
      </c>
      <c r="E287" s="627"/>
      <c r="F287" s="397"/>
      <c r="G287" s="370"/>
      <c r="H287" s="364"/>
      <c r="I287" s="340"/>
      <c r="J287" s="345">
        <v>1049492</v>
      </c>
      <c r="K287" s="342"/>
      <c r="L287" s="334"/>
      <c r="N287" s="312"/>
    </row>
    <row r="288" spans="1:14" ht="12.75" customHeight="1" x14ac:dyDescent="0.2">
      <c r="B288" s="476"/>
      <c r="C288" s="493" t="s">
        <v>182</v>
      </c>
      <c r="D288" s="343" t="s">
        <v>180</v>
      </c>
      <c r="E288" s="627"/>
      <c r="F288" s="397"/>
      <c r="G288" s="370"/>
      <c r="H288" s="364"/>
      <c r="I288" s="340"/>
      <c r="J288" s="345">
        <v>150000</v>
      </c>
      <c r="K288" s="342"/>
      <c r="L288" s="334"/>
      <c r="N288" s="312"/>
    </row>
    <row r="289" spans="1:16" ht="12.75" customHeight="1" x14ac:dyDescent="0.2">
      <c r="A289" s="13">
        <v>7</v>
      </c>
      <c r="B289" s="476">
        <v>44232</v>
      </c>
      <c r="C289" s="493" t="s">
        <v>181</v>
      </c>
      <c r="D289" s="343" t="s">
        <v>183</v>
      </c>
      <c r="E289" s="336"/>
      <c r="F289" s="397"/>
      <c r="G289" s="370"/>
      <c r="H289" s="364"/>
      <c r="I289" s="340"/>
      <c r="J289" s="345">
        <v>407319</v>
      </c>
      <c r="K289" s="342"/>
      <c r="L289" s="334"/>
      <c r="N289" s="312"/>
    </row>
    <row r="290" spans="1:16" ht="12.75" customHeight="1" x14ac:dyDescent="0.2">
      <c r="A290" s="13">
        <v>8</v>
      </c>
      <c r="B290" s="476">
        <v>44232</v>
      </c>
      <c r="C290" s="493" t="s">
        <v>181</v>
      </c>
      <c r="D290" s="343" t="s">
        <v>184</v>
      </c>
      <c r="E290" s="336"/>
      <c r="F290" s="397"/>
      <c r="G290" s="370"/>
      <c r="H290" s="364"/>
      <c r="I290" s="340"/>
      <c r="J290" s="345">
        <v>407319</v>
      </c>
      <c r="K290" s="342"/>
      <c r="L290" s="334"/>
      <c r="N290" s="312"/>
    </row>
    <row r="291" spans="1:16" ht="12.75" customHeight="1" x14ac:dyDescent="0.2">
      <c r="A291" s="13">
        <v>9</v>
      </c>
      <c r="B291" s="476">
        <v>44232</v>
      </c>
      <c r="C291" s="493" t="s">
        <v>181</v>
      </c>
      <c r="D291" s="343" t="s">
        <v>139</v>
      </c>
      <c r="E291" s="336"/>
      <c r="F291" s="397"/>
      <c r="G291" s="370"/>
      <c r="H291" s="364"/>
      <c r="I291" s="340"/>
      <c r="J291" s="345">
        <v>407319</v>
      </c>
      <c r="K291" s="342"/>
      <c r="L291" s="334"/>
      <c r="N291" s="312"/>
    </row>
    <row r="292" spans="1:16" ht="12.75" customHeight="1" x14ac:dyDescent="0.2">
      <c r="A292" s="13">
        <v>10</v>
      </c>
      <c r="B292" s="476">
        <v>44236</v>
      </c>
      <c r="C292" s="493" t="s">
        <v>181</v>
      </c>
      <c r="D292" s="343" t="s">
        <v>180</v>
      </c>
      <c r="E292" s="627"/>
      <c r="F292" s="397"/>
      <c r="G292" s="370"/>
      <c r="H292" s="364"/>
      <c r="I292" s="340"/>
      <c r="J292" s="345">
        <v>2798644</v>
      </c>
      <c r="K292" s="342"/>
      <c r="L292" s="334"/>
      <c r="N292" s="601"/>
    </row>
    <row r="293" spans="1:16" ht="12.75" customHeight="1" x14ac:dyDescent="0.2">
      <c r="B293" s="476"/>
      <c r="C293" s="493" t="s">
        <v>182</v>
      </c>
      <c r="D293" s="343" t="s">
        <v>180</v>
      </c>
      <c r="E293" s="627"/>
      <c r="F293" s="397"/>
      <c r="G293" s="370"/>
      <c r="H293" s="364"/>
      <c r="I293" s="340"/>
      <c r="J293" s="345">
        <v>1088740</v>
      </c>
      <c r="K293" s="342"/>
      <c r="L293" s="334"/>
      <c r="N293" s="601"/>
    </row>
    <row r="294" spans="1:16" ht="12.75" customHeight="1" x14ac:dyDescent="0.2">
      <c r="A294" s="13">
        <v>11</v>
      </c>
      <c r="B294" s="477">
        <v>44236</v>
      </c>
      <c r="C294" s="493" t="s">
        <v>181</v>
      </c>
      <c r="D294" s="335" t="s">
        <v>184</v>
      </c>
      <c r="E294" s="353"/>
      <c r="F294" s="397"/>
      <c r="G294" s="370"/>
      <c r="H294" s="364"/>
      <c r="I294" s="348"/>
      <c r="J294" s="345">
        <v>814638</v>
      </c>
      <c r="K294" s="342"/>
      <c r="L294" s="334"/>
      <c r="N294" s="601"/>
    </row>
    <row r="295" spans="1:16" ht="12.75" customHeight="1" x14ac:dyDescent="0.2">
      <c r="B295" s="477">
        <v>44236</v>
      </c>
      <c r="C295" s="493" t="s">
        <v>182</v>
      </c>
      <c r="D295" s="343" t="s">
        <v>184</v>
      </c>
      <c r="E295" s="336"/>
      <c r="F295" s="397"/>
      <c r="G295" s="370"/>
      <c r="H295" s="364"/>
      <c r="I295" s="340"/>
      <c r="J295" s="345">
        <v>140000</v>
      </c>
      <c r="K295" s="342"/>
      <c r="L295" s="334"/>
      <c r="N295" s="601"/>
    </row>
    <row r="296" spans="1:16" ht="12.75" customHeight="1" x14ac:dyDescent="0.2">
      <c r="A296" s="13">
        <v>12</v>
      </c>
      <c r="B296" s="476">
        <v>44246</v>
      </c>
      <c r="C296" s="493" t="s">
        <v>181</v>
      </c>
      <c r="D296" s="343" t="s">
        <v>180</v>
      </c>
      <c r="E296" s="627"/>
      <c r="F296" s="397"/>
      <c r="G296" s="370"/>
      <c r="H296" s="364"/>
      <c r="I296" s="340"/>
      <c r="J296" s="345">
        <v>4897627</v>
      </c>
      <c r="K296" s="342"/>
      <c r="L296" s="334"/>
      <c r="N296" s="601"/>
    </row>
    <row r="297" spans="1:16" ht="12.75" customHeight="1" x14ac:dyDescent="0.2">
      <c r="B297" s="476"/>
      <c r="C297" s="493" t="s">
        <v>182</v>
      </c>
      <c r="D297" s="343" t="s">
        <v>180</v>
      </c>
      <c r="E297" s="627"/>
      <c r="F297" s="397"/>
      <c r="G297" s="370"/>
      <c r="H297" s="364"/>
      <c r="I297" s="340"/>
      <c r="J297" s="345">
        <v>538850</v>
      </c>
      <c r="K297" s="342"/>
      <c r="L297" s="334"/>
      <c r="N297" s="601"/>
    </row>
    <row r="298" spans="1:16" ht="12.75" customHeight="1" x14ac:dyDescent="0.2">
      <c r="A298" s="13">
        <v>13</v>
      </c>
      <c r="B298" s="476">
        <v>44246</v>
      </c>
      <c r="C298" s="493" t="s">
        <v>181</v>
      </c>
      <c r="D298" s="343" t="s">
        <v>307</v>
      </c>
      <c r="E298" s="336"/>
      <c r="F298" s="397"/>
      <c r="G298" s="370"/>
      <c r="H298" s="364"/>
      <c r="I298" s="340"/>
      <c r="J298" s="345">
        <v>2036595</v>
      </c>
      <c r="K298" s="342"/>
      <c r="L298" s="334"/>
      <c r="N298" s="601"/>
    </row>
    <row r="299" spans="1:16" ht="12.75" customHeight="1" x14ac:dyDescent="0.2">
      <c r="B299" s="476"/>
      <c r="C299" s="493" t="s">
        <v>182</v>
      </c>
      <c r="D299" s="343" t="s">
        <v>307</v>
      </c>
      <c r="E299" s="336"/>
      <c r="F299" s="397"/>
      <c r="G299" s="370"/>
      <c r="H299" s="364"/>
      <c r="I299" s="340"/>
      <c r="J299" s="345">
        <v>635000</v>
      </c>
      <c r="K299" s="342"/>
      <c r="L299" s="334"/>
      <c r="N299" s="601"/>
    </row>
    <row r="300" spans="1:16" ht="12.75" customHeight="1" x14ac:dyDescent="0.2">
      <c r="A300" s="13">
        <v>14</v>
      </c>
      <c r="B300" s="476">
        <v>44246</v>
      </c>
      <c r="C300" s="493" t="s">
        <v>181</v>
      </c>
      <c r="D300" s="343" t="s">
        <v>186</v>
      </c>
      <c r="E300" s="336"/>
      <c r="F300" s="397"/>
      <c r="G300" s="370"/>
      <c r="H300" s="364"/>
      <c r="I300" s="340"/>
      <c r="J300" s="345">
        <v>1571333</v>
      </c>
      <c r="K300" s="342"/>
      <c r="L300" s="334"/>
      <c r="N300" s="601"/>
    </row>
    <row r="301" spans="1:16" ht="12.75" customHeight="1" x14ac:dyDescent="0.2">
      <c r="B301" s="476"/>
      <c r="C301" s="493" t="s">
        <v>182</v>
      </c>
      <c r="D301" s="343" t="s">
        <v>186</v>
      </c>
      <c r="E301" s="336"/>
      <c r="F301" s="397"/>
      <c r="G301" s="370"/>
      <c r="H301" s="364"/>
      <c r="I301" s="340"/>
      <c r="J301" s="345">
        <v>635000</v>
      </c>
      <c r="K301" s="342"/>
      <c r="L301" s="354"/>
      <c r="N301" s="601"/>
    </row>
    <row r="302" spans="1:16" ht="12.75" customHeight="1" x14ac:dyDescent="0.2">
      <c r="A302" s="13">
        <v>15</v>
      </c>
      <c r="B302" s="476">
        <v>44260</v>
      </c>
      <c r="C302" s="493" t="s">
        <v>181</v>
      </c>
      <c r="D302" s="343" t="s">
        <v>180</v>
      </c>
      <c r="E302" s="627" t="s">
        <v>117</v>
      </c>
      <c r="F302" s="397"/>
      <c r="G302" s="370"/>
      <c r="H302" s="364"/>
      <c r="I302" s="340"/>
      <c r="J302" s="345">
        <v>1399322</v>
      </c>
      <c r="K302" s="342"/>
      <c r="L302" s="354"/>
      <c r="N302" s="629"/>
    </row>
    <row r="303" spans="1:16" ht="12.75" customHeight="1" x14ac:dyDescent="0.2">
      <c r="B303" s="476"/>
      <c r="C303" s="493" t="s">
        <v>182</v>
      </c>
      <c r="D303" s="343" t="s">
        <v>180</v>
      </c>
      <c r="E303" s="627"/>
      <c r="F303" s="397"/>
      <c r="G303" s="370"/>
      <c r="H303" s="364"/>
      <c r="I303" s="340"/>
      <c r="J303" s="345">
        <v>200000</v>
      </c>
      <c r="K303" s="342"/>
      <c r="L303" s="334"/>
      <c r="N303" s="601"/>
      <c r="P303" s="630"/>
    </row>
    <row r="304" spans="1:16" ht="12.75" customHeight="1" x14ac:dyDescent="0.2">
      <c r="B304" s="476">
        <v>44264</v>
      </c>
      <c r="C304" s="493" t="s">
        <v>258</v>
      </c>
      <c r="D304" s="343" t="s">
        <v>259</v>
      </c>
      <c r="E304" s="336"/>
      <c r="F304" s="397"/>
      <c r="G304" s="370"/>
      <c r="H304" s="364"/>
      <c r="I304" s="340"/>
      <c r="J304" s="345">
        <v>301551</v>
      </c>
      <c r="K304" s="342"/>
      <c r="L304" s="334"/>
      <c r="N304" s="601"/>
      <c r="O304" s="631"/>
    </row>
    <row r="305" spans="1:15" ht="12.75" customHeight="1" x14ac:dyDescent="0.2">
      <c r="A305" s="13">
        <v>16</v>
      </c>
      <c r="B305" s="476">
        <v>44273</v>
      </c>
      <c r="C305" s="493" t="s">
        <v>181</v>
      </c>
      <c r="D305" s="343" t="s">
        <v>180</v>
      </c>
      <c r="E305" s="627"/>
      <c r="F305" s="397"/>
      <c r="G305" s="370"/>
      <c r="H305" s="364"/>
      <c r="I305" s="340"/>
      <c r="J305" s="345">
        <v>1399322</v>
      </c>
      <c r="K305" s="342"/>
      <c r="L305" s="334"/>
      <c r="N305" s="601"/>
    </row>
    <row r="306" spans="1:15" ht="12.75" customHeight="1" x14ac:dyDescent="0.2">
      <c r="B306" s="476"/>
      <c r="C306" s="493" t="s">
        <v>182</v>
      </c>
      <c r="D306" s="343" t="s">
        <v>180</v>
      </c>
      <c r="E306" s="627"/>
      <c r="F306" s="397"/>
      <c r="G306" s="370"/>
      <c r="H306" s="364"/>
      <c r="I306" s="340"/>
      <c r="J306" s="345">
        <v>200000</v>
      </c>
      <c r="K306" s="342"/>
      <c r="L306" s="334"/>
      <c r="N306" s="628"/>
    </row>
    <row r="307" spans="1:15" ht="12.75" customHeight="1" x14ac:dyDescent="0.2">
      <c r="A307" s="13">
        <v>17</v>
      </c>
      <c r="B307" s="476">
        <v>44273</v>
      </c>
      <c r="C307" s="493" t="s">
        <v>181</v>
      </c>
      <c r="D307" s="343" t="s">
        <v>184</v>
      </c>
      <c r="E307" s="336"/>
      <c r="F307" s="397"/>
      <c r="G307" s="370"/>
      <c r="H307" s="364"/>
      <c r="I307" s="340"/>
      <c r="J307" s="345">
        <v>543092</v>
      </c>
      <c r="K307" s="342"/>
      <c r="L307" s="334"/>
      <c r="N307" s="613"/>
    </row>
    <row r="308" spans="1:15" ht="12.75" customHeight="1" x14ac:dyDescent="0.2">
      <c r="B308" s="476"/>
      <c r="C308" s="493" t="s">
        <v>182</v>
      </c>
      <c r="D308" s="343" t="s">
        <v>184</v>
      </c>
      <c r="E308" s="336"/>
      <c r="F308" s="397"/>
      <c r="G308" s="370"/>
      <c r="H308" s="364"/>
      <c r="I308" s="340"/>
      <c r="J308" s="345">
        <v>200000</v>
      </c>
      <c r="K308" s="342"/>
      <c r="L308" s="334"/>
      <c r="N308" s="312"/>
    </row>
    <row r="309" spans="1:15" ht="12.75" customHeight="1" x14ac:dyDescent="0.2">
      <c r="A309" s="13">
        <v>18</v>
      </c>
      <c r="B309" s="476">
        <v>44273</v>
      </c>
      <c r="C309" s="58" t="s">
        <v>181</v>
      </c>
      <c r="D309" s="343" t="s">
        <v>263</v>
      </c>
      <c r="E309" s="336"/>
      <c r="F309" s="397"/>
      <c r="G309" s="370"/>
      <c r="H309" s="364"/>
      <c r="I309" s="340"/>
      <c r="J309" s="345">
        <v>543092</v>
      </c>
      <c r="K309" s="342"/>
      <c r="L309" s="334"/>
      <c r="N309" s="312"/>
    </row>
    <row r="310" spans="1:15" x14ac:dyDescent="0.2">
      <c r="B310" s="476"/>
      <c r="C310" s="58" t="s">
        <v>182</v>
      </c>
      <c r="D310" s="343" t="s">
        <v>263</v>
      </c>
      <c r="E310" s="336"/>
      <c r="F310" s="397"/>
      <c r="G310" s="370"/>
      <c r="H310" s="364"/>
      <c r="I310" s="340"/>
      <c r="J310" s="345">
        <v>200000</v>
      </c>
      <c r="K310" s="342"/>
      <c r="L310" s="334"/>
      <c r="N310" s="312"/>
    </row>
    <row r="311" spans="1:15" ht="12.75" customHeight="1" x14ac:dyDescent="0.2">
      <c r="A311" s="13">
        <v>19</v>
      </c>
      <c r="B311" s="476">
        <v>44273</v>
      </c>
      <c r="C311" s="58" t="s">
        <v>181</v>
      </c>
      <c r="D311" s="335" t="s">
        <v>264</v>
      </c>
      <c r="E311" s="336"/>
      <c r="F311" s="397"/>
      <c r="G311" s="370"/>
      <c r="H311" s="364"/>
      <c r="I311" s="340"/>
      <c r="J311" s="345">
        <v>419022</v>
      </c>
      <c r="K311" s="342"/>
      <c r="L311" s="334"/>
      <c r="N311" s="312"/>
    </row>
    <row r="312" spans="1:15" ht="12.75" customHeight="1" x14ac:dyDescent="0.2">
      <c r="B312" s="476"/>
      <c r="C312" s="58" t="s">
        <v>182</v>
      </c>
      <c r="D312" s="335" t="s">
        <v>264</v>
      </c>
      <c r="E312" s="336"/>
      <c r="F312" s="397"/>
      <c r="G312" s="370"/>
      <c r="H312" s="364"/>
      <c r="I312" s="340"/>
      <c r="J312" s="345">
        <v>200000</v>
      </c>
      <c r="K312" s="342"/>
      <c r="L312" s="334"/>
      <c r="N312" s="312"/>
    </row>
    <row r="313" spans="1:15" ht="12.75" customHeight="1" x14ac:dyDescent="0.2">
      <c r="A313" s="13">
        <v>20</v>
      </c>
      <c r="B313" s="476">
        <v>44281</v>
      </c>
      <c r="C313" s="58" t="s">
        <v>181</v>
      </c>
      <c r="D313" s="343" t="s">
        <v>170</v>
      </c>
      <c r="E313" s="627"/>
      <c r="F313" s="397"/>
      <c r="G313" s="370"/>
      <c r="H313" s="364"/>
      <c r="I313" s="340"/>
      <c r="J313" s="345">
        <v>0</v>
      </c>
      <c r="K313" s="342"/>
      <c r="L313" s="334"/>
      <c r="N313" s="312"/>
    </row>
    <row r="314" spans="1:15" ht="12.75" customHeight="1" x14ac:dyDescent="0.2">
      <c r="B314" s="476"/>
      <c r="C314" s="58" t="s">
        <v>182</v>
      </c>
      <c r="D314" s="343" t="s">
        <v>170</v>
      </c>
      <c r="E314" s="627"/>
      <c r="F314" s="397"/>
      <c r="G314" s="370"/>
      <c r="H314" s="364"/>
      <c r="I314" s="340"/>
      <c r="J314" s="345">
        <v>0</v>
      </c>
      <c r="K314" s="342"/>
      <c r="L314" s="334"/>
      <c r="N314" s="601"/>
    </row>
    <row r="315" spans="1:15" ht="12.75" customHeight="1" x14ac:dyDescent="0.2">
      <c r="A315" s="13">
        <v>21</v>
      </c>
      <c r="B315" s="476">
        <v>44302</v>
      </c>
      <c r="C315" s="58" t="s">
        <v>181</v>
      </c>
      <c r="D315" s="343" t="s">
        <v>170</v>
      </c>
      <c r="E315" s="627"/>
      <c r="F315" s="397"/>
      <c r="G315" s="370"/>
      <c r="H315" s="364"/>
      <c r="I315" s="340"/>
      <c r="J315" s="362">
        <v>1399322</v>
      </c>
      <c r="K315" s="342"/>
      <c r="L315" s="334"/>
      <c r="N315" s="601"/>
    </row>
    <row r="316" spans="1:15" ht="12.75" customHeight="1" x14ac:dyDescent="0.2">
      <c r="B316" s="478"/>
      <c r="C316" s="118" t="s">
        <v>182</v>
      </c>
      <c r="D316" s="343" t="s">
        <v>170</v>
      </c>
      <c r="E316" s="627"/>
      <c r="F316" s="397"/>
      <c r="G316" s="370"/>
      <c r="H316" s="364"/>
      <c r="I316" s="340"/>
      <c r="J316" s="362">
        <v>200000</v>
      </c>
      <c r="K316" s="342"/>
      <c r="L316" s="334"/>
      <c r="N316" s="629"/>
    </row>
    <row r="317" spans="1:15" ht="12.75" customHeight="1" x14ac:dyDescent="0.2">
      <c r="A317" s="13">
        <v>22</v>
      </c>
      <c r="B317" s="478">
        <v>44330</v>
      </c>
      <c r="C317" s="118" t="s">
        <v>181</v>
      </c>
      <c r="D317" s="343" t="s">
        <v>170</v>
      </c>
      <c r="E317" s="336"/>
      <c r="F317" s="397"/>
      <c r="G317" s="370"/>
      <c r="H317" s="364"/>
      <c r="I317" s="340"/>
      <c r="J317" s="362">
        <v>3498305</v>
      </c>
      <c r="K317" s="342"/>
      <c r="L317" s="334"/>
      <c r="N317" s="604"/>
      <c r="O317" s="139"/>
    </row>
    <row r="318" spans="1:15" ht="12.75" customHeight="1" x14ac:dyDescent="0.2">
      <c r="B318" s="478"/>
      <c r="C318" s="118" t="s">
        <v>182</v>
      </c>
      <c r="D318" s="343" t="s">
        <v>170</v>
      </c>
      <c r="E318" s="336"/>
      <c r="F318" s="397"/>
      <c r="G318" s="370"/>
      <c r="H318" s="364"/>
      <c r="I318" s="340"/>
      <c r="J318" s="362">
        <v>400000</v>
      </c>
      <c r="K318" s="342"/>
      <c r="L318" s="334"/>
      <c r="N318" s="312"/>
    </row>
    <row r="319" spans="1:15" ht="12.75" customHeight="1" x14ac:dyDescent="0.2">
      <c r="A319" s="13">
        <v>23</v>
      </c>
      <c r="B319" s="478">
        <v>44357</v>
      </c>
      <c r="C319" s="118" t="s">
        <v>181</v>
      </c>
      <c r="D319" s="357" t="s">
        <v>170</v>
      </c>
      <c r="E319" s="336"/>
      <c r="F319" s="397"/>
      <c r="G319" s="370"/>
      <c r="H319" s="364"/>
      <c r="I319" s="340"/>
      <c r="J319" s="362">
        <v>2098983</v>
      </c>
      <c r="K319" s="342"/>
      <c r="L319" s="334"/>
      <c r="N319" s="312"/>
    </row>
    <row r="320" spans="1:15" ht="12.75" customHeight="1" x14ac:dyDescent="0.2">
      <c r="B320" s="478"/>
      <c r="C320" s="118" t="s">
        <v>182</v>
      </c>
      <c r="D320" s="357" t="s">
        <v>170</v>
      </c>
      <c r="E320" s="336"/>
      <c r="F320" s="397"/>
      <c r="G320" s="370"/>
      <c r="H320" s="364"/>
      <c r="I320" s="340"/>
      <c r="J320" s="362">
        <v>400000</v>
      </c>
      <c r="K320" s="342"/>
      <c r="L320" s="334"/>
      <c r="N320" s="312"/>
    </row>
    <row r="321" spans="1:14" ht="12.75" customHeight="1" x14ac:dyDescent="0.2">
      <c r="A321" s="13">
        <v>24</v>
      </c>
      <c r="B321" s="478">
        <v>44358</v>
      </c>
      <c r="C321" s="118" t="s">
        <v>181</v>
      </c>
      <c r="D321" s="357" t="s">
        <v>307</v>
      </c>
      <c r="E321" s="336"/>
      <c r="F321" s="397"/>
      <c r="G321" s="370"/>
      <c r="H321" s="364"/>
      <c r="I321" s="340"/>
      <c r="J321" s="362">
        <v>1221957</v>
      </c>
      <c r="K321" s="342"/>
      <c r="L321" s="354"/>
      <c r="N321" s="312"/>
    </row>
    <row r="322" spans="1:14" ht="12.75" customHeight="1" x14ac:dyDescent="0.2">
      <c r="B322" s="478"/>
      <c r="C322" s="118" t="s">
        <v>182</v>
      </c>
      <c r="D322" s="357" t="s">
        <v>307</v>
      </c>
      <c r="E322" s="336"/>
      <c r="F322" s="397"/>
      <c r="G322" s="370"/>
      <c r="H322" s="364"/>
      <c r="I322" s="340"/>
      <c r="J322" s="362">
        <v>24000</v>
      </c>
      <c r="K322" s="342"/>
      <c r="L322" s="334"/>
      <c r="N322" s="312"/>
    </row>
    <row r="323" spans="1:14" x14ac:dyDescent="0.2">
      <c r="A323" s="13">
        <v>25</v>
      </c>
      <c r="B323" s="478">
        <v>44358</v>
      </c>
      <c r="C323" s="118" t="s">
        <v>181</v>
      </c>
      <c r="D323" s="357" t="s">
        <v>185</v>
      </c>
      <c r="E323" s="336"/>
      <c r="F323" s="397"/>
      <c r="G323" s="370"/>
      <c r="H323" s="364"/>
      <c r="I323" s="340"/>
      <c r="J323" s="362">
        <v>942800</v>
      </c>
      <c r="K323" s="342"/>
      <c r="L323" s="334"/>
      <c r="N323" s="312"/>
    </row>
    <row r="324" spans="1:14" ht="12.75" customHeight="1" x14ac:dyDescent="0.2">
      <c r="B324" s="478"/>
      <c r="C324" s="118" t="s">
        <v>182</v>
      </c>
      <c r="D324" s="357" t="s">
        <v>185</v>
      </c>
      <c r="E324" s="336"/>
      <c r="F324" s="397"/>
      <c r="G324" s="370"/>
      <c r="H324" s="364"/>
      <c r="I324" s="340"/>
      <c r="J324" s="362">
        <v>24000</v>
      </c>
      <c r="K324" s="342"/>
      <c r="L324" s="334"/>
      <c r="N324" s="312"/>
    </row>
    <row r="325" spans="1:14" ht="12.75" customHeight="1" x14ac:dyDescent="0.2">
      <c r="A325" s="13">
        <v>26</v>
      </c>
      <c r="B325" s="478">
        <v>44358</v>
      </c>
      <c r="C325" s="118" t="s">
        <v>181</v>
      </c>
      <c r="D325" s="357" t="s">
        <v>186</v>
      </c>
      <c r="E325" s="336"/>
      <c r="F325" s="397"/>
      <c r="G325" s="370"/>
      <c r="H325" s="364"/>
      <c r="I325" s="340"/>
      <c r="J325" s="362">
        <v>942800</v>
      </c>
      <c r="K325" s="342"/>
      <c r="L325" s="334"/>
      <c r="N325" s="312"/>
    </row>
    <row r="326" spans="1:14" ht="12.75" customHeight="1" x14ac:dyDescent="0.2">
      <c r="B326" s="478"/>
      <c r="C326" s="118" t="s">
        <v>182</v>
      </c>
      <c r="D326" s="357" t="s">
        <v>186</v>
      </c>
      <c r="E326" s="336"/>
      <c r="F326" s="397"/>
      <c r="G326" s="370"/>
      <c r="H326" s="364"/>
      <c r="I326" s="340"/>
      <c r="J326" s="362">
        <v>24000</v>
      </c>
      <c r="K326" s="342"/>
      <c r="L326" s="334"/>
      <c r="N326" s="312"/>
    </row>
    <row r="327" spans="1:14" ht="12.75" customHeight="1" x14ac:dyDescent="0.2">
      <c r="A327" s="13">
        <v>27</v>
      </c>
      <c r="B327" s="478">
        <v>44358</v>
      </c>
      <c r="C327" s="118" t="s">
        <v>181</v>
      </c>
      <c r="D327" s="357" t="s">
        <v>308</v>
      </c>
      <c r="E327" s="336"/>
      <c r="F327" s="397"/>
      <c r="G327" s="370"/>
      <c r="H327" s="364"/>
      <c r="I327" s="340"/>
      <c r="J327" s="362">
        <v>1082628</v>
      </c>
      <c r="K327" s="342"/>
      <c r="L327" s="334"/>
      <c r="N327" s="312"/>
    </row>
    <row r="328" spans="1:14" ht="17.25" customHeight="1" x14ac:dyDescent="0.25">
      <c r="B328" s="478"/>
      <c r="C328" s="118" t="s">
        <v>182</v>
      </c>
      <c r="D328" s="357" t="s">
        <v>308</v>
      </c>
      <c r="E328" s="336"/>
      <c r="F328" s="397"/>
      <c r="G328" s="379"/>
      <c r="H328" s="364"/>
      <c r="I328" s="340"/>
      <c r="J328" s="614">
        <v>24000</v>
      </c>
      <c r="K328" s="342"/>
      <c r="L328" s="334"/>
      <c r="N328" s="312"/>
    </row>
    <row r="329" spans="1:14" x14ac:dyDescent="0.2">
      <c r="A329" s="13">
        <v>28</v>
      </c>
      <c r="B329" s="478">
        <v>44364</v>
      </c>
      <c r="C329" s="118" t="s">
        <v>181</v>
      </c>
      <c r="D329" s="357" t="s">
        <v>170</v>
      </c>
      <c r="E329" s="336"/>
      <c r="F329" s="397"/>
      <c r="G329" s="370"/>
      <c r="H329" s="364"/>
      <c r="I329" s="340"/>
      <c r="J329" s="362">
        <v>0</v>
      </c>
      <c r="K329" s="342"/>
      <c r="L329" s="334"/>
      <c r="N329" s="312"/>
    </row>
    <row r="330" spans="1:14" x14ac:dyDescent="0.2">
      <c r="B330" s="478"/>
      <c r="C330" s="118" t="s">
        <v>182</v>
      </c>
      <c r="D330" s="357" t="s">
        <v>170</v>
      </c>
      <c r="E330" s="336"/>
      <c r="F330" s="397"/>
      <c r="G330" s="370"/>
      <c r="H330" s="364"/>
      <c r="I330" s="340"/>
      <c r="J330" s="362">
        <v>0</v>
      </c>
      <c r="K330" s="342"/>
      <c r="L330" s="334"/>
      <c r="N330" s="312"/>
    </row>
    <row r="331" spans="1:14" x14ac:dyDescent="0.2">
      <c r="A331" s="13">
        <v>29</v>
      </c>
      <c r="B331" s="478">
        <v>44364</v>
      </c>
      <c r="C331" s="118" t="s">
        <v>181</v>
      </c>
      <c r="D331" s="357" t="s">
        <v>184</v>
      </c>
      <c r="E331" s="336"/>
      <c r="F331" s="397"/>
      <c r="G331" s="370"/>
      <c r="H331" s="364"/>
      <c r="I331" s="340"/>
      <c r="J331" s="362">
        <v>407319</v>
      </c>
      <c r="K331" s="342"/>
      <c r="L331" s="334"/>
      <c r="N331" s="312"/>
    </row>
    <row r="332" spans="1:14" x14ac:dyDescent="0.2">
      <c r="B332" s="478"/>
      <c r="C332" s="118" t="s">
        <v>182</v>
      </c>
      <c r="D332" s="357" t="s">
        <v>184</v>
      </c>
      <c r="E332" s="336"/>
      <c r="F332" s="397"/>
      <c r="G332" s="370"/>
      <c r="H332" s="364"/>
      <c r="I332" s="340"/>
      <c r="J332" s="362">
        <v>0</v>
      </c>
      <c r="K332" s="342"/>
      <c r="L332" s="334"/>
      <c r="N332" s="312"/>
    </row>
    <row r="333" spans="1:14" x14ac:dyDescent="0.2">
      <c r="A333" s="13">
        <v>30</v>
      </c>
      <c r="B333" s="478">
        <v>44365</v>
      </c>
      <c r="C333" s="118" t="s">
        <v>181</v>
      </c>
      <c r="D333" s="357" t="s">
        <v>170</v>
      </c>
      <c r="E333" s="336"/>
      <c r="F333" s="397"/>
      <c r="G333" s="370"/>
      <c r="H333" s="364"/>
      <c r="I333" s="340"/>
      <c r="J333" s="362">
        <v>1399322</v>
      </c>
      <c r="K333" s="342"/>
      <c r="L333" s="334"/>
      <c r="N333" s="312"/>
    </row>
    <row r="334" spans="1:14" x14ac:dyDescent="0.2">
      <c r="B334" s="478"/>
      <c r="C334" s="118" t="s">
        <v>182</v>
      </c>
      <c r="D334" s="357" t="s">
        <v>170</v>
      </c>
      <c r="E334" s="336"/>
      <c r="F334" s="397"/>
      <c r="G334" s="370"/>
      <c r="H334" s="364"/>
      <c r="I334" s="340"/>
      <c r="J334" s="362">
        <v>200000</v>
      </c>
      <c r="K334" s="342"/>
      <c r="L334" s="334"/>
      <c r="N334" s="312"/>
    </row>
    <row r="335" spans="1:14" x14ac:dyDescent="0.2">
      <c r="A335" s="13">
        <v>31</v>
      </c>
      <c r="B335" s="478">
        <v>44368</v>
      </c>
      <c r="C335" s="118" t="s">
        <v>181</v>
      </c>
      <c r="D335" s="357" t="s">
        <v>170</v>
      </c>
      <c r="E335" s="336"/>
      <c r="F335" s="397"/>
      <c r="G335" s="370"/>
      <c r="H335" s="364"/>
      <c r="I335" s="340"/>
      <c r="J335" s="362">
        <v>3848136</v>
      </c>
      <c r="K335" s="342"/>
      <c r="L335" s="334"/>
      <c r="N335" s="312"/>
    </row>
    <row r="336" spans="1:14" x14ac:dyDescent="0.2">
      <c r="B336" s="478"/>
      <c r="C336" s="118" t="s">
        <v>182</v>
      </c>
      <c r="D336" s="357" t="s">
        <v>170</v>
      </c>
      <c r="E336" s="336"/>
      <c r="F336" s="397"/>
      <c r="G336" s="370"/>
      <c r="H336" s="364"/>
      <c r="I336" s="340"/>
      <c r="J336" s="362">
        <v>1002420</v>
      </c>
      <c r="K336" s="342"/>
      <c r="L336" s="334"/>
      <c r="N336" s="312"/>
    </row>
    <row r="337" spans="1:14" x14ac:dyDescent="0.2">
      <c r="A337" s="13">
        <v>32</v>
      </c>
      <c r="B337" s="478">
        <v>44368</v>
      </c>
      <c r="C337" s="118" t="s">
        <v>181</v>
      </c>
      <c r="D337" s="357" t="s">
        <v>184</v>
      </c>
      <c r="E337" s="336"/>
      <c r="F337" s="397"/>
      <c r="G337" s="370"/>
      <c r="H337" s="364"/>
      <c r="I337" s="340"/>
      <c r="J337" s="362">
        <v>1493503</v>
      </c>
      <c r="K337" s="342"/>
      <c r="L337" s="334"/>
      <c r="N337" s="268"/>
    </row>
    <row r="338" spans="1:14" x14ac:dyDescent="0.2">
      <c r="B338" s="478"/>
      <c r="C338" s="118" t="s">
        <v>182</v>
      </c>
      <c r="D338" s="357" t="s">
        <v>184</v>
      </c>
      <c r="E338" s="336"/>
      <c r="F338" s="397"/>
      <c r="G338" s="370"/>
      <c r="H338" s="364"/>
      <c r="I338" s="340"/>
      <c r="J338" s="362">
        <v>1002420</v>
      </c>
      <c r="K338" s="342"/>
      <c r="L338" s="334"/>
      <c r="N338" s="268"/>
    </row>
    <row r="339" spans="1:14" x14ac:dyDescent="0.2">
      <c r="A339" s="13">
        <v>33</v>
      </c>
      <c r="B339" s="478">
        <v>44368</v>
      </c>
      <c r="C339" s="118" t="s">
        <v>181</v>
      </c>
      <c r="D339" s="357" t="s">
        <v>307</v>
      </c>
      <c r="E339" s="336"/>
      <c r="F339" s="397"/>
      <c r="G339" s="370"/>
      <c r="H339" s="364"/>
      <c r="I339" s="340"/>
      <c r="J339" s="362">
        <v>1493503</v>
      </c>
      <c r="K339" s="342"/>
      <c r="L339" s="334"/>
      <c r="N339" s="268"/>
    </row>
    <row r="340" spans="1:14" x14ac:dyDescent="0.2">
      <c r="B340" s="478"/>
      <c r="C340" s="118" t="s">
        <v>182</v>
      </c>
      <c r="D340" s="357" t="s">
        <v>307</v>
      </c>
      <c r="E340" s="336"/>
      <c r="F340" s="397"/>
      <c r="G340" s="370"/>
      <c r="H340" s="364"/>
      <c r="I340" s="340"/>
      <c r="J340" s="362">
        <v>1002420</v>
      </c>
      <c r="K340" s="342"/>
      <c r="L340" s="334"/>
      <c r="N340" s="268"/>
    </row>
    <row r="341" spans="1:14" x14ac:dyDescent="0.2">
      <c r="A341" s="13">
        <v>34</v>
      </c>
      <c r="B341" s="478">
        <v>44378</v>
      </c>
      <c r="C341" s="118" t="s">
        <v>181</v>
      </c>
      <c r="D341" s="357" t="s">
        <v>170</v>
      </c>
      <c r="E341" s="336"/>
      <c r="F341" s="397"/>
      <c r="G341" s="370"/>
      <c r="H341" s="364"/>
      <c r="I341" s="340"/>
      <c r="J341" s="362">
        <v>1399322</v>
      </c>
      <c r="K341" s="342"/>
      <c r="L341" s="334"/>
      <c r="N341" s="622"/>
    </row>
    <row r="342" spans="1:14" x14ac:dyDescent="0.2">
      <c r="B342" s="478"/>
      <c r="C342" s="118" t="s">
        <v>182</v>
      </c>
      <c r="D342" s="357" t="s">
        <v>170</v>
      </c>
      <c r="E342" s="336"/>
      <c r="F342" s="397"/>
      <c r="G342" s="370"/>
      <c r="H342" s="364"/>
      <c r="I342" s="340"/>
      <c r="J342" s="362">
        <v>200000</v>
      </c>
      <c r="K342" s="342"/>
      <c r="L342" s="334"/>
      <c r="N342" s="622"/>
    </row>
    <row r="343" spans="1:14" x14ac:dyDescent="0.2">
      <c r="A343" s="13">
        <v>35</v>
      </c>
      <c r="B343" s="478">
        <v>44407</v>
      </c>
      <c r="C343" s="118" t="s">
        <v>181</v>
      </c>
      <c r="D343" s="357" t="s">
        <v>170</v>
      </c>
      <c r="E343" s="336"/>
      <c r="F343" s="397"/>
      <c r="G343" s="370"/>
      <c r="H343" s="364"/>
      <c r="I343" s="340"/>
      <c r="J343" s="362">
        <v>2098983</v>
      </c>
      <c r="K343" s="342"/>
      <c r="L343" s="334"/>
      <c r="N343" s="268"/>
    </row>
    <row r="344" spans="1:14" x14ac:dyDescent="0.2">
      <c r="B344" s="478"/>
      <c r="C344" s="118" t="s">
        <v>182</v>
      </c>
      <c r="D344" s="357" t="s">
        <v>170</v>
      </c>
      <c r="E344" s="336"/>
      <c r="F344" s="397"/>
      <c r="G344" s="370"/>
      <c r="H344" s="364"/>
      <c r="I344" s="340"/>
      <c r="J344" s="362">
        <v>200000</v>
      </c>
      <c r="K344" s="342"/>
      <c r="L344" s="334"/>
      <c r="N344" s="268"/>
    </row>
    <row r="345" spans="1:14" x14ac:dyDescent="0.2">
      <c r="A345" s="13">
        <v>36</v>
      </c>
      <c r="B345" s="478">
        <v>44407</v>
      </c>
      <c r="C345" s="118" t="s">
        <v>181</v>
      </c>
      <c r="D345" s="357" t="s">
        <v>184</v>
      </c>
      <c r="E345" s="336"/>
      <c r="F345" s="397"/>
      <c r="G345" s="370"/>
      <c r="H345" s="364"/>
      <c r="I345" s="340"/>
      <c r="J345" s="362">
        <v>814638</v>
      </c>
      <c r="K345" s="342"/>
      <c r="L345" s="334"/>
      <c r="N345" s="312"/>
    </row>
    <row r="346" spans="1:14" x14ac:dyDescent="0.2">
      <c r="B346" s="478"/>
      <c r="C346" s="118" t="s">
        <v>182</v>
      </c>
      <c r="D346" s="357" t="s">
        <v>184</v>
      </c>
      <c r="E346" s="336"/>
      <c r="F346" s="397"/>
      <c r="G346" s="370"/>
      <c r="H346" s="364"/>
      <c r="I346" s="340"/>
      <c r="J346" s="362">
        <v>200000</v>
      </c>
      <c r="K346" s="342"/>
      <c r="L346" s="354"/>
      <c r="N346" s="312"/>
    </row>
    <row r="347" spans="1:14" x14ac:dyDescent="0.2">
      <c r="A347" s="13">
        <v>37</v>
      </c>
      <c r="B347" s="478">
        <v>44407</v>
      </c>
      <c r="C347" s="118" t="s">
        <v>181</v>
      </c>
      <c r="D347" s="357" t="s">
        <v>307</v>
      </c>
      <c r="E347" s="336"/>
      <c r="F347" s="397"/>
      <c r="G347" s="370"/>
      <c r="H347" s="364"/>
      <c r="I347" s="340"/>
      <c r="J347" s="362">
        <v>814638</v>
      </c>
      <c r="K347" s="342"/>
      <c r="L347" s="334"/>
      <c r="N347" s="312"/>
    </row>
    <row r="348" spans="1:14" x14ac:dyDescent="0.2">
      <c r="B348" s="478"/>
      <c r="C348" s="118" t="s">
        <v>182</v>
      </c>
      <c r="D348" s="357" t="s">
        <v>307</v>
      </c>
      <c r="E348" s="336"/>
      <c r="F348" s="397"/>
      <c r="G348" s="370"/>
      <c r="H348" s="364"/>
      <c r="I348" s="340"/>
      <c r="J348" s="362">
        <v>200000</v>
      </c>
      <c r="K348" s="342"/>
      <c r="L348" s="334"/>
      <c r="N348" s="312"/>
    </row>
    <row r="349" spans="1:14" x14ac:dyDescent="0.2">
      <c r="A349" s="13">
        <v>38</v>
      </c>
      <c r="B349" s="478">
        <v>44407</v>
      </c>
      <c r="C349" s="118" t="s">
        <v>181</v>
      </c>
      <c r="D349" s="357" t="s">
        <v>185</v>
      </c>
      <c r="E349" s="336"/>
      <c r="F349" s="397"/>
      <c r="G349" s="370"/>
      <c r="H349" s="364"/>
      <c r="I349" s="340"/>
      <c r="J349" s="362">
        <v>628533</v>
      </c>
      <c r="K349" s="342"/>
      <c r="L349" s="334"/>
      <c r="N349" s="312"/>
    </row>
    <row r="350" spans="1:14" x14ac:dyDescent="0.2">
      <c r="B350" s="478"/>
      <c r="C350" s="118" t="s">
        <v>182</v>
      </c>
      <c r="D350" s="357" t="s">
        <v>185</v>
      </c>
      <c r="E350" s="336"/>
      <c r="F350" s="397"/>
      <c r="G350" s="370"/>
      <c r="H350" s="364"/>
      <c r="I350" s="340"/>
      <c r="J350" s="362">
        <v>200000</v>
      </c>
      <c r="K350" s="342"/>
      <c r="L350" s="334"/>
      <c r="N350" s="312"/>
    </row>
    <row r="351" spans="1:14" x14ac:dyDescent="0.2">
      <c r="A351" s="13">
        <v>39</v>
      </c>
      <c r="B351" s="478">
        <v>44407</v>
      </c>
      <c r="C351" s="118" t="s">
        <v>181</v>
      </c>
      <c r="D351" s="357" t="s">
        <v>186</v>
      </c>
      <c r="E351" s="336"/>
      <c r="F351" s="397"/>
      <c r="G351" s="370"/>
      <c r="H351" s="364"/>
      <c r="I351" s="340"/>
      <c r="J351" s="362">
        <v>628533</v>
      </c>
      <c r="K351" s="342"/>
      <c r="L351" s="334"/>
      <c r="N351" s="312"/>
    </row>
    <row r="352" spans="1:14" x14ac:dyDescent="0.2">
      <c r="B352" s="478"/>
      <c r="C352" s="118" t="s">
        <v>182</v>
      </c>
      <c r="D352" s="357" t="s">
        <v>186</v>
      </c>
      <c r="E352" s="336"/>
      <c r="F352" s="397"/>
      <c r="G352" s="370"/>
      <c r="H352" s="364"/>
      <c r="I352" s="340"/>
      <c r="J352" s="362">
        <v>200000</v>
      </c>
      <c r="K352" s="342"/>
      <c r="L352" s="334"/>
      <c r="N352" s="312"/>
    </row>
    <row r="353" spans="1:14" x14ac:dyDescent="0.2">
      <c r="A353" s="13">
        <v>40</v>
      </c>
      <c r="B353" s="478">
        <v>44407</v>
      </c>
      <c r="C353" s="118" t="s">
        <v>181</v>
      </c>
      <c r="D353" s="357" t="s">
        <v>308</v>
      </c>
      <c r="E353" s="336"/>
      <c r="F353" s="397"/>
      <c r="G353" s="370"/>
      <c r="H353" s="364"/>
      <c r="I353" s="340"/>
      <c r="J353" s="362">
        <v>721752</v>
      </c>
      <c r="K353" s="342"/>
      <c r="L353" s="334"/>
      <c r="N353" s="312"/>
    </row>
    <row r="354" spans="1:14" x14ac:dyDescent="0.2">
      <c r="B354" s="478"/>
      <c r="C354" s="118" t="s">
        <v>182</v>
      </c>
      <c r="D354" s="357" t="s">
        <v>308</v>
      </c>
      <c r="E354" s="336"/>
      <c r="F354" s="397"/>
      <c r="G354" s="370"/>
      <c r="H354" s="364"/>
      <c r="I354" s="340"/>
      <c r="J354" s="362">
        <v>200000</v>
      </c>
      <c r="K354" s="342"/>
      <c r="L354" s="334"/>
      <c r="N354" s="312"/>
    </row>
    <row r="355" spans="1:14" x14ac:dyDescent="0.2">
      <c r="A355" s="13">
        <v>41</v>
      </c>
      <c r="B355" s="478">
        <v>44407</v>
      </c>
      <c r="C355" s="118" t="s">
        <v>181</v>
      </c>
      <c r="D355" s="357" t="s">
        <v>139</v>
      </c>
      <c r="E355" s="336"/>
      <c r="F355" s="397"/>
      <c r="G355" s="370"/>
      <c r="H355" s="364"/>
      <c r="I355" s="340"/>
      <c r="J355" s="362">
        <v>721752</v>
      </c>
      <c r="K355" s="342"/>
      <c r="L355" s="334"/>
      <c r="N355" s="312"/>
    </row>
    <row r="356" spans="1:14" x14ac:dyDescent="0.2">
      <c r="B356" s="478"/>
      <c r="C356" s="118" t="s">
        <v>182</v>
      </c>
      <c r="D356" s="357" t="s">
        <v>139</v>
      </c>
      <c r="E356" s="336"/>
      <c r="F356" s="397"/>
      <c r="G356" s="370"/>
      <c r="H356" s="364"/>
      <c r="I356" s="340"/>
      <c r="J356" s="362">
        <v>200000</v>
      </c>
      <c r="K356" s="342"/>
      <c r="L356" s="334"/>
      <c r="N356" s="312"/>
    </row>
    <row r="357" spans="1:14" x14ac:dyDescent="0.2">
      <c r="B357" s="477"/>
      <c r="C357" s="343"/>
      <c r="D357" s="343"/>
      <c r="E357" s="336"/>
      <c r="F357" s="397"/>
      <c r="G357" s="370"/>
      <c r="H357" s="364"/>
      <c r="I357" s="340"/>
      <c r="J357" s="341"/>
      <c r="K357" s="342"/>
      <c r="L357" s="334"/>
      <c r="N357" s="312"/>
    </row>
    <row r="358" spans="1:14" x14ac:dyDescent="0.2">
      <c r="B358" s="476"/>
      <c r="C358" s="343"/>
      <c r="D358" s="343"/>
      <c r="E358" s="336"/>
      <c r="F358" s="397"/>
      <c r="G358" s="370"/>
      <c r="H358" s="364"/>
      <c r="I358" s="340"/>
      <c r="J358" s="341"/>
      <c r="K358" s="342"/>
      <c r="L358" s="334"/>
      <c r="N358" s="312"/>
    </row>
    <row r="359" spans="1:14" x14ac:dyDescent="0.2">
      <c r="B359" s="476"/>
      <c r="C359" s="343"/>
      <c r="D359" s="343"/>
      <c r="E359" s="336"/>
      <c r="F359" s="397"/>
      <c r="G359" s="370"/>
      <c r="H359" s="364"/>
      <c r="I359" s="340"/>
      <c r="J359" s="341"/>
      <c r="K359" s="342"/>
      <c r="L359" s="334"/>
      <c r="N359" s="312"/>
    </row>
    <row r="360" spans="1:14" x14ac:dyDescent="0.2">
      <c r="B360" s="476"/>
      <c r="C360" s="343"/>
      <c r="D360" s="343"/>
      <c r="E360" s="336"/>
      <c r="F360" s="397"/>
      <c r="G360" s="370"/>
      <c r="H360" s="364"/>
      <c r="I360" s="340"/>
      <c r="J360" s="341"/>
      <c r="K360" s="342"/>
      <c r="L360" s="334"/>
      <c r="N360" s="312"/>
    </row>
    <row r="361" spans="1:14" x14ac:dyDescent="0.2">
      <c r="B361" s="476"/>
      <c r="C361" s="343"/>
      <c r="D361" s="343"/>
      <c r="E361" s="336"/>
      <c r="F361" s="397"/>
      <c r="G361" s="370"/>
      <c r="H361" s="364"/>
      <c r="I361" s="340"/>
      <c r="J361" s="341"/>
      <c r="K361" s="342"/>
      <c r="L361" s="334"/>
      <c r="N361" s="312"/>
    </row>
    <row r="362" spans="1:14" x14ac:dyDescent="0.2">
      <c r="B362" s="476"/>
      <c r="C362" s="343"/>
      <c r="D362" s="343"/>
      <c r="E362" s="336"/>
      <c r="F362" s="397"/>
      <c r="G362" s="370"/>
      <c r="H362" s="364"/>
      <c r="I362" s="340"/>
      <c r="J362" s="341"/>
      <c r="K362" s="342"/>
      <c r="L362" s="334"/>
      <c r="N362" s="312"/>
    </row>
    <row r="363" spans="1:14" x14ac:dyDescent="0.2">
      <c r="B363" s="476"/>
      <c r="C363" s="343"/>
      <c r="D363" s="343"/>
      <c r="E363" s="336"/>
      <c r="F363" s="397"/>
      <c r="G363" s="370"/>
      <c r="H363" s="364"/>
      <c r="I363" s="340"/>
      <c r="J363" s="341"/>
      <c r="K363" s="342"/>
      <c r="L363" s="334"/>
      <c r="N363" s="312"/>
    </row>
    <row r="364" spans="1:14" x14ac:dyDescent="0.2">
      <c r="B364" s="476"/>
      <c r="C364" s="343"/>
      <c r="D364" s="343"/>
      <c r="E364" s="336"/>
      <c r="F364" s="397"/>
      <c r="G364" s="370"/>
      <c r="H364" s="364"/>
      <c r="I364" s="340"/>
      <c r="J364" s="341"/>
      <c r="K364" s="342"/>
      <c r="L364" s="334"/>
      <c r="N364" s="312"/>
    </row>
    <row r="365" spans="1:14" x14ac:dyDescent="0.2">
      <c r="B365" s="476"/>
      <c r="C365" s="343"/>
      <c r="D365" s="343"/>
      <c r="E365" s="336"/>
      <c r="F365" s="397"/>
      <c r="G365" s="370"/>
      <c r="H365" s="364"/>
      <c r="I365" s="340"/>
      <c r="J365" s="341"/>
      <c r="K365" s="342"/>
      <c r="L365" s="334"/>
      <c r="N365" s="312"/>
    </row>
    <row r="366" spans="1:14" x14ac:dyDescent="0.2">
      <c r="B366" s="476"/>
      <c r="C366" s="343"/>
      <c r="D366" s="343"/>
      <c r="E366" s="336"/>
      <c r="F366" s="397"/>
      <c r="G366" s="370"/>
      <c r="H366" s="364"/>
      <c r="I366" s="340"/>
      <c r="J366" s="341"/>
      <c r="K366" s="342"/>
      <c r="L366" s="334"/>
      <c r="N366" s="312"/>
    </row>
    <row r="367" spans="1:14" x14ac:dyDescent="0.2">
      <c r="B367" s="476"/>
      <c r="C367" s="343"/>
      <c r="D367" s="343"/>
      <c r="E367" s="336"/>
      <c r="F367" s="397"/>
      <c r="G367" s="370"/>
      <c r="H367" s="364"/>
      <c r="I367" s="340"/>
      <c r="J367" s="341"/>
      <c r="K367" s="342"/>
      <c r="L367" s="334"/>
      <c r="N367" s="312"/>
    </row>
    <row r="368" spans="1:14" x14ac:dyDescent="0.2">
      <c r="B368" s="476"/>
      <c r="C368" s="343"/>
      <c r="D368" s="343"/>
      <c r="E368" s="336"/>
      <c r="F368" s="397"/>
      <c r="G368" s="370"/>
      <c r="H368" s="364"/>
      <c r="I368" s="340"/>
      <c r="J368" s="341"/>
      <c r="K368" s="342"/>
      <c r="L368" s="334"/>
      <c r="N368" s="312"/>
    </row>
    <row r="369" spans="2:14" x14ac:dyDescent="0.2">
      <c r="B369" s="476"/>
      <c r="C369" s="343"/>
      <c r="D369" s="343"/>
      <c r="E369" s="336"/>
      <c r="F369" s="397"/>
      <c r="G369" s="370"/>
      <c r="H369" s="364"/>
      <c r="I369" s="340"/>
      <c r="J369" s="341"/>
      <c r="K369" s="342"/>
      <c r="L369" s="334"/>
      <c r="N369" s="312"/>
    </row>
    <row r="370" spans="2:14" x14ac:dyDescent="0.2">
      <c r="B370" s="476"/>
      <c r="C370" s="343"/>
      <c r="D370" s="343"/>
      <c r="E370" s="336"/>
      <c r="F370" s="397"/>
      <c r="G370" s="370"/>
      <c r="H370" s="364"/>
      <c r="I370" s="340"/>
      <c r="J370" s="341"/>
      <c r="K370" s="342"/>
      <c r="L370" s="334"/>
      <c r="N370" s="312"/>
    </row>
    <row r="371" spans="2:14" x14ac:dyDescent="0.2">
      <c r="B371" s="476"/>
      <c r="C371" s="343"/>
      <c r="D371" s="343"/>
      <c r="E371" s="336"/>
      <c r="F371" s="397"/>
      <c r="G371" s="370"/>
      <c r="H371" s="364"/>
      <c r="I371" s="340"/>
      <c r="J371" s="341"/>
      <c r="K371" s="342"/>
      <c r="L371" s="334"/>
      <c r="N371" s="312"/>
    </row>
    <row r="372" spans="2:14" x14ac:dyDescent="0.2">
      <c r="B372" s="476"/>
      <c r="C372" s="343"/>
      <c r="D372" s="343"/>
      <c r="E372" s="336"/>
      <c r="F372" s="397"/>
      <c r="G372" s="370"/>
      <c r="H372" s="364"/>
      <c r="I372" s="340"/>
      <c r="J372" s="341"/>
      <c r="K372" s="342"/>
      <c r="L372" s="334"/>
      <c r="N372" s="312"/>
    </row>
    <row r="373" spans="2:14" x14ac:dyDescent="0.2">
      <c r="B373" s="476"/>
      <c r="C373" s="343"/>
      <c r="D373" s="343"/>
      <c r="E373" s="336"/>
      <c r="F373" s="397"/>
      <c r="G373" s="370"/>
      <c r="H373" s="364"/>
      <c r="I373" s="340"/>
      <c r="J373" s="341"/>
      <c r="K373" s="342"/>
      <c r="L373" s="334"/>
      <c r="N373" s="312"/>
    </row>
    <row r="374" spans="2:14" x14ac:dyDescent="0.2">
      <c r="B374" s="476"/>
      <c r="C374" s="343"/>
      <c r="D374" s="343"/>
      <c r="E374" s="336"/>
      <c r="F374" s="397"/>
      <c r="G374" s="370"/>
      <c r="H374" s="364"/>
      <c r="I374" s="340"/>
      <c r="J374" s="341"/>
      <c r="K374" s="342"/>
      <c r="L374" s="334"/>
      <c r="N374" s="312"/>
    </row>
    <row r="375" spans="2:14" x14ac:dyDescent="0.2">
      <c r="B375" s="476"/>
      <c r="C375" s="343"/>
      <c r="D375" s="335"/>
      <c r="E375" s="336"/>
      <c r="F375" s="397"/>
      <c r="G375" s="370"/>
      <c r="H375" s="364"/>
      <c r="I375" s="340"/>
      <c r="J375" s="341"/>
      <c r="K375" s="342"/>
      <c r="L375" s="334"/>
      <c r="N375" s="312"/>
    </row>
    <row r="376" spans="2:14" x14ac:dyDescent="0.2">
      <c r="B376" s="476"/>
      <c r="C376" s="343"/>
      <c r="D376" s="335"/>
      <c r="E376" s="336"/>
      <c r="F376" s="397"/>
      <c r="G376" s="370"/>
      <c r="H376" s="364"/>
      <c r="I376" s="340"/>
      <c r="J376" s="341"/>
      <c r="K376" s="342"/>
      <c r="L376" s="334"/>
      <c r="N376" s="312"/>
    </row>
    <row r="377" spans="2:14" x14ac:dyDescent="0.2">
      <c r="B377" s="476"/>
      <c r="C377" s="343"/>
      <c r="D377" s="343"/>
      <c r="E377" s="336"/>
      <c r="F377" s="397"/>
      <c r="G377" s="370"/>
      <c r="H377" s="364"/>
      <c r="I377" s="340"/>
      <c r="J377" s="341"/>
      <c r="K377" s="342"/>
      <c r="L377" s="334"/>
      <c r="N377" s="312"/>
    </row>
    <row r="378" spans="2:14" ht="15.75" x14ac:dyDescent="0.25">
      <c r="B378" s="474"/>
      <c r="C378" s="119">
        <v>2020120203</v>
      </c>
      <c r="D378" s="119" t="s">
        <v>46</v>
      </c>
      <c r="E378" s="121">
        <f>'PROYECCION 2021'!C32</f>
        <v>2000000</v>
      </c>
      <c r="F378" s="122">
        <f>SUM(F379:F397)</f>
        <v>0</v>
      </c>
      <c r="G378" s="122">
        <f>SUM(G379:G397)</f>
        <v>1190000</v>
      </c>
      <c r="H378" s="122">
        <f>SUM(H379:H397)</f>
        <v>0</v>
      </c>
      <c r="I378" s="123">
        <f>E378+F378+G378-H378</f>
        <v>3190000</v>
      </c>
      <c r="J378" s="224">
        <f>SUM(J379:J397)</f>
        <v>1990000</v>
      </c>
      <c r="K378" s="141">
        <f>I378-J378</f>
        <v>1200000</v>
      </c>
      <c r="L378" s="145">
        <f>K378</f>
        <v>1200000</v>
      </c>
      <c r="N378" s="312"/>
    </row>
    <row r="379" spans="2:14" x14ac:dyDescent="0.2">
      <c r="B379" s="476">
        <v>44223</v>
      </c>
      <c r="C379" s="343"/>
      <c r="D379" s="396" t="s">
        <v>191</v>
      </c>
      <c r="E379" s="336"/>
      <c r="F379" s="337"/>
      <c r="G379" s="338"/>
      <c r="H379" s="364"/>
      <c r="I379" s="340"/>
      <c r="J379" s="345">
        <v>300000</v>
      </c>
      <c r="K379" s="342"/>
      <c r="L379" s="334"/>
      <c r="N379" s="312"/>
    </row>
    <row r="380" spans="2:14" x14ac:dyDescent="0.2">
      <c r="B380" s="476">
        <v>44260</v>
      </c>
      <c r="C380" s="343"/>
      <c r="D380" s="343" t="s">
        <v>254</v>
      </c>
      <c r="E380" s="336"/>
      <c r="F380" s="337"/>
      <c r="G380" s="338"/>
      <c r="H380" s="364"/>
      <c r="I380" s="340"/>
      <c r="J380" s="341">
        <v>190000</v>
      </c>
      <c r="K380" s="342"/>
      <c r="L380" s="334"/>
      <c r="N380" s="312"/>
    </row>
    <row r="381" spans="2:14" x14ac:dyDescent="0.2">
      <c r="B381" s="476">
        <v>44291</v>
      </c>
      <c r="C381" s="343"/>
      <c r="D381" s="396" t="s">
        <v>269</v>
      </c>
      <c r="E381" s="336"/>
      <c r="F381" s="337"/>
      <c r="G381" s="338"/>
      <c r="H381" s="364"/>
      <c r="I381" s="340"/>
      <c r="J381" s="362">
        <v>300000</v>
      </c>
      <c r="K381" s="342"/>
      <c r="L381" s="334"/>
      <c r="N381" s="312"/>
    </row>
    <row r="382" spans="2:14" x14ac:dyDescent="0.2">
      <c r="B382" s="478">
        <v>44319</v>
      </c>
      <c r="C382" s="357"/>
      <c r="D382" s="357" t="s">
        <v>283</v>
      </c>
      <c r="E382" s="336"/>
      <c r="F382" s="337"/>
      <c r="G382" s="338"/>
      <c r="H382" s="364"/>
      <c r="I382" s="340"/>
      <c r="J382" s="362">
        <v>300000</v>
      </c>
      <c r="K382" s="342"/>
      <c r="L382" s="334"/>
      <c r="N382" s="601"/>
    </row>
    <row r="383" spans="2:14" x14ac:dyDescent="0.2">
      <c r="B383" s="478">
        <v>44348</v>
      </c>
      <c r="C383" s="357"/>
      <c r="D383" s="357" t="s">
        <v>304</v>
      </c>
      <c r="E383" s="336"/>
      <c r="F383" s="337"/>
      <c r="G383" s="338"/>
      <c r="H383" s="364"/>
      <c r="I383" s="340"/>
      <c r="J383" s="362">
        <v>300000</v>
      </c>
      <c r="K383" s="342"/>
      <c r="L383" s="334"/>
      <c r="N383" s="601"/>
    </row>
    <row r="384" spans="2:14" x14ac:dyDescent="0.2">
      <c r="B384" s="478">
        <v>44378</v>
      </c>
      <c r="C384" s="357"/>
      <c r="D384" s="357" t="s">
        <v>314</v>
      </c>
      <c r="E384" s="336"/>
      <c r="F384" s="337"/>
      <c r="G384" s="338"/>
      <c r="H384" s="364"/>
      <c r="I384" s="340"/>
      <c r="J384" s="362">
        <v>300000</v>
      </c>
      <c r="K384" s="342"/>
      <c r="L384" s="334"/>
      <c r="N384" s="601"/>
    </row>
    <row r="385" spans="2:14" x14ac:dyDescent="0.2">
      <c r="B385" s="475">
        <v>44403</v>
      </c>
      <c r="C385" s="335"/>
      <c r="D385" s="352" t="s">
        <v>324</v>
      </c>
      <c r="E385" s="336"/>
      <c r="F385" s="337"/>
      <c r="G385" s="338">
        <v>1190000</v>
      </c>
      <c r="H385" s="364"/>
      <c r="I385" s="340"/>
      <c r="J385" s="341"/>
      <c r="K385" s="342"/>
      <c r="L385" s="334"/>
      <c r="N385" s="312"/>
    </row>
    <row r="386" spans="2:14" x14ac:dyDescent="0.2">
      <c r="B386" s="645">
        <v>44410</v>
      </c>
      <c r="C386" s="646"/>
      <c r="D386" s="646" t="s">
        <v>327</v>
      </c>
      <c r="E386" s="336"/>
      <c r="F386" s="337"/>
      <c r="G386" s="338"/>
      <c r="H386" s="364"/>
      <c r="I386" s="340"/>
      <c r="J386" s="648">
        <v>300000</v>
      </c>
      <c r="K386" s="342"/>
      <c r="L386" s="334"/>
      <c r="N386" s="601"/>
    </row>
    <row r="387" spans="2:14" x14ac:dyDescent="0.2">
      <c r="B387" s="476"/>
      <c r="C387" s="343"/>
      <c r="D387" s="343"/>
      <c r="E387" s="336"/>
      <c r="F387" s="337"/>
      <c r="G387" s="338"/>
      <c r="H387" s="364"/>
      <c r="I387" s="340"/>
      <c r="J387" s="341"/>
      <c r="K387" s="342"/>
      <c r="L387" s="334"/>
      <c r="N387" s="312"/>
    </row>
    <row r="388" spans="2:14" x14ac:dyDescent="0.2">
      <c r="B388" s="476"/>
      <c r="C388" s="343"/>
      <c r="D388" s="343"/>
      <c r="E388" s="336"/>
      <c r="F388" s="337"/>
      <c r="G388" s="338"/>
      <c r="H388" s="364"/>
      <c r="I388" s="340"/>
      <c r="J388" s="341"/>
      <c r="K388" s="342"/>
      <c r="L388" s="334"/>
      <c r="N388" s="312"/>
    </row>
    <row r="389" spans="2:14" x14ac:dyDescent="0.2">
      <c r="B389" s="476"/>
      <c r="C389" s="343"/>
      <c r="D389" s="343"/>
      <c r="E389" s="336"/>
      <c r="F389" s="337"/>
      <c r="G389" s="338"/>
      <c r="H389" s="364"/>
      <c r="I389" s="340"/>
      <c r="J389" s="341"/>
      <c r="K389" s="342"/>
      <c r="L389" s="334"/>
      <c r="N389" s="312"/>
    </row>
    <row r="390" spans="2:14" x14ac:dyDescent="0.2">
      <c r="B390" s="476"/>
      <c r="C390" s="343"/>
      <c r="D390" s="343"/>
      <c r="E390" s="336"/>
      <c r="F390" s="337"/>
      <c r="G390" s="338"/>
      <c r="H390" s="364"/>
      <c r="I390" s="340"/>
      <c r="J390" s="341"/>
      <c r="K390" s="342"/>
      <c r="L390" s="334"/>
      <c r="N390" s="312"/>
    </row>
    <row r="391" spans="2:14" x14ac:dyDescent="0.2">
      <c r="B391" s="476"/>
      <c r="C391" s="343"/>
      <c r="D391" s="343"/>
      <c r="E391" s="336"/>
      <c r="F391" s="337"/>
      <c r="G391" s="338"/>
      <c r="H391" s="364"/>
      <c r="I391" s="340"/>
      <c r="J391" s="341"/>
      <c r="K391" s="342"/>
      <c r="L391" s="334"/>
      <c r="N391" s="312"/>
    </row>
    <row r="392" spans="2:14" x14ac:dyDescent="0.2">
      <c r="B392" s="476"/>
      <c r="C392" s="343"/>
      <c r="D392" s="343"/>
      <c r="E392" s="336"/>
      <c r="F392" s="337"/>
      <c r="G392" s="338"/>
      <c r="H392" s="364"/>
      <c r="I392" s="340"/>
      <c r="J392" s="341"/>
      <c r="K392" s="342"/>
      <c r="L392" s="334"/>
      <c r="N392" s="312"/>
    </row>
    <row r="393" spans="2:14" x14ac:dyDescent="0.2">
      <c r="B393" s="476"/>
      <c r="C393" s="343"/>
      <c r="D393" s="343"/>
      <c r="E393" s="336"/>
      <c r="F393" s="337"/>
      <c r="G393" s="338"/>
      <c r="H393" s="364"/>
      <c r="I393" s="340"/>
      <c r="J393" s="341"/>
      <c r="K393" s="342"/>
      <c r="L393" s="334"/>
      <c r="N393" s="312"/>
    </row>
    <row r="394" spans="2:14" x14ac:dyDescent="0.2">
      <c r="B394" s="476"/>
      <c r="C394" s="343"/>
      <c r="D394" s="343"/>
      <c r="E394" s="336"/>
      <c r="F394" s="337"/>
      <c r="G394" s="338"/>
      <c r="H394" s="364"/>
      <c r="I394" s="340"/>
      <c r="J394" s="341"/>
      <c r="K394" s="342"/>
      <c r="L394" s="334"/>
      <c r="N394" s="312"/>
    </row>
    <row r="395" spans="2:14" x14ac:dyDescent="0.2">
      <c r="B395" s="476"/>
      <c r="C395" s="343"/>
      <c r="D395" s="343"/>
      <c r="E395" s="336"/>
      <c r="F395" s="337"/>
      <c r="G395" s="338"/>
      <c r="H395" s="364"/>
      <c r="I395" s="340"/>
      <c r="J395" s="341"/>
      <c r="K395" s="342"/>
      <c r="L395" s="334"/>
      <c r="N395" s="312"/>
    </row>
    <row r="396" spans="2:14" x14ac:dyDescent="0.2">
      <c r="B396" s="476"/>
      <c r="C396" s="343"/>
      <c r="D396" s="343"/>
      <c r="E396" s="336"/>
      <c r="F396" s="337"/>
      <c r="G396" s="338"/>
      <c r="H396" s="364"/>
      <c r="I396" s="340"/>
      <c r="J396" s="341"/>
      <c r="K396" s="342"/>
      <c r="L396" s="334"/>
      <c r="N396" s="312"/>
    </row>
    <row r="397" spans="2:14" x14ac:dyDescent="0.2">
      <c r="B397" s="476"/>
      <c r="C397" s="343"/>
      <c r="D397" s="343"/>
      <c r="E397" s="336"/>
      <c r="F397" s="337"/>
      <c r="G397" s="338"/>
      <c r="H397" s="364"/>
      <c r="I397" s="340"/>
      <c r="J397" s="341"/>
      <c r="K397" s="342"/>
      <c r="L397" s="334"/>
      <c r="N397" s="312"/>
    </row>
    <row r="398" spans="2:14" ht="15.75" x14ac:dyDescent="0.25">
      <c r="B398" s="474"/>
      <c r="C398" s="119">
        <v>2020120204</v>
      </c>
      <c r="D398" s="119" t="s">
        <v>48</v>
      </c>
      <c r="E398" s="121">
        <f>'PROYECCION 2021'!C33</f>
        <v>9000000</v>
      </c>
      <c r="F398" s="122">
        <f>SUM(F399:F411)</f>
        <v>0</v>
      </c>
      <c r="G398" s="122">
        <f>SUM(G399:G411)</f>
        <v>0</v>
      </c>
      <c r="H398" s="122">
        <f>SUM(H399:H411)</f>
        <v>0</v>
      </c>
      <c r="I398" s="123">
        <f>E398+F398+G398-H398</f>
        <v>9000000</v>
      </c>
      <c r="J398" s="224">
        <f>SUM(J399:J411)</f>
        <v>5711400</v>
      </c>
      <c r="K398" s="141">
        <f>I398-J398</f>
        <v>3288600</v>
      </c>
      <c r="L398" s="145">
        <f>K398</f>
        <v>3288600</v>
      </c>
      <c r="N398" s="312"/>
    </row>
    <row r="399" spans="2:14" x14ac:dyDescent="0.2">
      <c r="B399" s="476">
        <v>44218</v>
      </c>
      <c r="C399" s="343"/>
      <c r="D399" s="343" t="s">
        <v>187</v>
      </c>
      <c r="E399" s="336"/>
      <c r="F399" s="337"/>
      <c r="G399" s="338"/>
      <c r="H399" s="364"/>
      <c r="I399" s="340"/>
      <c r="J399" s="345">
        <v>784000</v>
      </c>
      <c r="K399" s="342"/>
      <c r="L399" s="334"/>
      <c r="N399" s="312"/>
    </row>
    <row r="400" spans="2:14" x14ac:dyDescent="0.2">
      <c r="B400" s="476">
        <v>44239</v>
      </c>
      <c r="C400" s="343"/>
      <c r="D400" s="343" t="s">
        <v>187</v>
      </c>
      <c r="E400" s="336"/>
      <c r="F400" s="337"/>
      <c r="G400" s="338"/>
      <c r="H400" s="364"/>
      <c r="I400" s="340"/>
      <c r="J400" s="345">
        <v>544700</v>
      </c>
      <c r="K400" s="342"/>
      <c r="L400" s="334"/>
      <c r="N400" s="312"/>
    </row>
    <row r="401" spans="2:14" x14ac:dyDescent="0.2">
      <c r="B401" s="476">
        <v>44271</v>
      </c>
      <c r="C401" s="343"/>
      <c r="D401" s="343" t="s">
        <v>187</v>
      </c>
      <c r="E401" s="336"/>
      <c r="F401" s="337"/>
      <c r="G401" s="338"/>
      <c r="H401" s="364"/>
      <c r="I401" s="340"/>
      <c r="J401" s="362">
        <v>1230400</v>
      </c>
      <c r="K401" s="342"/>
      <c r="L401" s="334"/>
      <c r="N401" s="312"/>
    </row>
    <row r="402" spans="2:14" x14ac:dyDescent="0.2">
      <c r="B402" s="475">
        <v>44301</v>
      </c>
      <c r="C402" s="335"/>
      <c r="D402" s="343" t="s">
        <v>187</v>
      </c>
      <c r="E402" s="336"/>
      <c r="F402" s="337"/>
      <c r="G402" s="338"/>
      <c r="H402" s="364"/>
      <c r="I402" s="340"/>
      <c r="J402" s="345">
        <v>907900</v>
      </c>
      <c r="K402" s="342"/>
      <c r="L402" s="354"/>
      <c r="N402" s="312"/>
    </row>
    <row r="403" spans="2:14" x14ac:dyDescent="0.2">
      <c r="B403" s="478">
        <v>44336</v>
      </c>
      <c r="C403" s="357"/>
      <c r="D403" s="357" t="s">
        <v>187</v>
      </c>
      <c r="E403" s="336"/>
      <c r="F403" s="337"/>
      <c r="G403" s="338"/>
      <c r="H403" s="364"/>
      <c r="I403" s="340"/>
      <c r="J403" s="362">
        <v>789400</v>
      </c>
      <c r="K403" s="342"/>
      <c r="L403" s="334"/>
      <c r="N403" s="312"/>
    </row>
    <row r="404" spans="2:14" x14ac:dyDescent="0.2">
      <c r="B404" s="478">
        <v>44364</v>
      </c>
      <c r="C404" s="357"/>
      <c r="D404" s="357" t="s">
        <v>187</v>
      </c>
      <c r="E404" s="336"/>
      <c r="F404" s="337"/>
      <c r="G404" s="338"/>
      <c r="H404" s="364"/>
      <c r="I404" s="340"/>
      <c r="J404" s="362">
        <v>907600</v>
      </c>
      <c r="K404" s="342"/>
      <c r="L404" s="334"/>
      <c r="N404" s="312"/>
    </row>
    <row r="405" spans="2:14" x14ac:dyDescent="0.2">
      <c r="B405" s="478">
        <v>44399</v>
      </c>
      <c r="C405" s="357"/>
      <c r="D405" s="357" t="s">
        <v>122</v>
      </c>
      <c r="E405" s="336"/>
      <c r="F405" s="337"/>
      <c r="G405" s="338"/>
      <c r="H405" s="364"/>
      <c r="I405" s="340"/>
      <c r="J405" s="362">
        <v>547400</v>
      </c>
      <c r="K405" s="342"/>
      <c r="L405" s="334"/>
      <c r="N405" s="312"/>
    </row>
    <row r="406" spans="2:14" x14ac:dyDescent="0.2">
      <c r="B406" s="478"/>
      <c r="C406" s="357"/>
      <c r="D406" s="357"/>
      <c r="E406" s="336"/>
      <c r="F406" s="337"/>
      <c r="G406" s="338"/>
      <c r="H406" s="364"/>
      <c r="I406" s="340"/>
      <c r="J406" s="350"/>
      <c r="K406" s="342"/>
      <c r="L406" s="334"/>
      <c r="N406" s="312"/>
    </row>
    <row r="407" spans="2:14" x14ac:dyDescent="0.2">
      <c r="B407" s="476"/>
      <c r="C407" s="343"/>
      <c r="D407" s="343"/>
      <c r="E407" s="336"/>
      <c r="F407" s="337"/>
      <c r="G407" s="338"/>
      <c r="H407" s="364"/>
      <c r="I407" s="340"/>
      <c r="J407" s="345"/>
      <c r="K407" s="342"/>
      <c r="L407" s="334"/>
      <c r="N407" s="312"/>
    </row>
    <row r="408" spans="2:14" x14ac:dyDescent="0.2">
      <c r="B408" s="476"/>
      <c r="C408" s="343"/>
      <c r="D408" s="343"/>
      <c r="E408" s="336"/>
      <c r="F408" s="337"/>
      <c r="G408" s="338"/>
      <c r="H408" s="364"/>
      <c r="I408" s="340"/>
      <c r="J408" s="345"/>
      <c r="K408" s="342"/>
      <c r="L408" s="334"/>
      <c r="N408" s="312"/>
    </row>
    <row r="409" spans="2:14" x14ac:dyDescent="0.2">
      <c r="B409" s="477"/>
      <c r="C409" s="335"/>
      <c r="D409" s="352"/>
      <c r="E409" s="336"/>
      <c r="F409" s="337"/>
      <c r="G409" s="338"/>
      <c r="H409" s="364"/>
      <c r="I409" s="340"/>
      <c r="J409" s="341"/>
      <c r="K409" s="342"/>
      <c r="L409" s="334"/>
      <c r="N409" s="312"/>
    </row>
    <row r="410" spans="2:14" x14ac:dyDescent="0.2">
      <c r="B410" s="476"/>
      <c r="C410" s="343"/>
      <c r="D410" s="343"/>
      <c r="E410" s="336"/>
      <c r="F410" s="337"/>
      <c r="G410" s="338"/>
      <c r="H410" s="364"/>
      <c r="I410" s="340"/>
      <c r="J410" s="341"/>
      <c r="K410" s="342"/>
      <c r="L410" s="334"/>
      <c r="M410" s="13" t="s">
        <v>117</v>
      </c>
      <c r="N410" s="312"/>
    </row>
    <row r="411" spans="2:14" x14ac:dyDescent="0.2">
      <c r="B411" s="476"/>
      <c r="C411" s="343"/>
      <c r="D411" s="343"/>
      <c r="E411" s="336"/>
      <c r="F411" s="337"/>
      <c r="G411" s="338"/>
      <c r="H411" s="364"/>
      <c r="I411" s="340"/>
      <c r="J411" s="341"/>
      <c r="K411" s="342"/>
      <c r="L411" s="334"/>
      <c r="N411" s="312"/>
    </row>
    <row r="412" spans="2:14" ht="15.75" x14ac:dyDescent="0.25">
      <c r="B412" s="474"/>
      <c r="C412" s="119" t="s">
        <v>49</v>
      </c>
      <c r="D412" s="119" t="s">
        <v>50</v>
      </c>
      <c r="E412" s="121">
        <f>'PROYECCION 2021'!C34</f>
        <v>4500000</v>
      </c>
      <c r="F412" s="122">
        <f>SUM(F413:F449)</f>
        <v>0</v>
      </c>
      <c r="G412" s="122">
        <f>SUM(G413:G449)</f>
        <v>0</v>
      </c>
      <c r="H412" s="122">
        <f>SUM(H413:H449)</f>
        <v>0</v>
      </c>
      <c r="I412" s="123">
        <f>E412+F412+G412-H412</f>
        <v>4500000</v>
      </c>
      <c r="J412" s="224">
        <f>SUM(J413:J449)</f>
        <v>2397307</v>
      </c>
      <c r="K412" s="141">
        <f>I412-J412</f>
        <v>2102693</v>
      </c>
      <c r="L412" s="145">
        <f>K412</f>
        <v>2102693</v>
      </c>
      <c r="N412" s="312"/>
    </row>
    <row r="413" spans="2:14" x14ac:dyDescent="0.2">
      <c r="B413" s="476">
        <v>44218</v>
      </c>
      <c r="C413" s="343"/>
      <c r="D413" s="343" t="s">
        <v>188</v>
      </c>
      <c r="E413" s="336"/>
      <c r="F413" s="337"/>
      <c r="G413" s="370"/>
      <c r="H413" s="364"/>
      <c r="I413" s="340"/>
      <c r="J413" s="345">
        <v>190400</v>
      </c>
      <c r="K413" s="342"/>
      <c r="L413" s="334"/>
      <c r="N413" s="312"/>
    </row>
    <row r="414" spans="2:14" x14ac:dyDescent="0.2">
      <c r="B414" s="476">
        <v>44229</v>
      </c>
      <c r="C414" s="343"/>
      <c r="D414" s="343" t="s">
        <v>247</v>
      </c>
      <c r="E414" s="336"/>
      <c r="F414" s="337"/>
      <c r="G414" s="370"/>
      <c r="H414" s="364"/>
      <c r="I414" s="340"/>
      <c r="J414" s="345">
        <v>151957</v>
      </c>
      <c r="K414" s="342"/>
      <c r="L414" s="334"/>
      <c r="N414" s="312"/>
    </row>
    <row r="415" spans="2:14" x14ac:dyDescent="0.2">
      <c r="B415" s="485">
        <v>44256</v>
      </c>
      <c r="C415" s="343"/>
      <c r="D415" s="343" t="s">
        <v>247</v>
      </c>
      <c r="E415" s="336"/>
      <c r="F415" s="337"/>
      <c r="G415" s="370"/>
      <c r="H415" s="364"/>
      <c r="I415" s="340"/>
      <c r="J415" s="345">
        <v>154562</v>
      </c>
      <c r="K415" s="342"/>
      <c r="L415" s="334"/>
      <c r="N415" s="312"/>
    </row>
    <row r="416" spans="2:14" x14ac:dyDescent="0.2">
      <c r="B416" s="476">
        <v>44271</v>
      </c>
      <c r="C416" s="343"/>
      <c r="D416" s="343" t="s">
        <v>188</v>
      </c>
      <c r="E416" s="336"/>
      <c r="F416" s="337"/>
      <c r="G416" s="370"/>
      <c r="H416" s="364"/>
      <c r="I416" s="340"/>
      <c r="J416" s="362">
        <v>190400</v>
      </c>
      <c r="K416" s="342"/>
      <c r="L416" s="334"/>
      <c r="N416" s="312"/>
    </row>
    <row r="417" spans="2:14" x14ac:dyDescent="0.2">
      <c r="B417" s="476">
        <v>44279</v>
      </c>
      <c r="C417" s="343"/>
      <c r="D417" s="343" t="s">
        <v>247</v>
      </c>
      <c r="E417" s="336"/>
      <c r="F417" s="337"/>
      <c r="G417" s="370"/>
      <c r="H417" s="364"/>
      <c r="I417" s="340"/>
      <c r="J417" s="362">
        <v>152072</v>
      </c>
      <c r="K417" s="342"/>
      <c r="L417" s="334"/>
      <c r="N417" s="312"/>
    </row>
    <row r="418" spans="2:14" x14ac:dyDescent="0.2">
      <c r="B418" s="478">
        <v>44279</v>
      </c>
      <c r="C418" s="357"/>
      <c r="D418" s="357" t="s">
        <v>188</v>
      </c>
      <c r="E418" s="336"/>
      <c r="F418" s="337"/>
      <c r="G418" s="370"/>
      <c r="H418" s="364"/>
      <c r="I418" s="340"/>
      <c r="J418" s="362">
        <v>190400</v>
      </c>
      <c r="K418" s="342" t="s">
        <v>204</v>
      </c>
      <c r="L418" s="334"/>
      <c r="N418" s="312"/>
    </row>
    <row r="419" spans="2:14" x14ac:dyDescent="0.2">
      <c r="B419" s="478">
        <v>44312</v>
      </c>
      <c r="C419" s="357"/>
      <c r="D419" s="357" t="s">
        <v>247</v>
      </c>
      <c r="E419" s="336"/>
      <c r="F419" s="337"/>
      <c r="G419" s="370"/>
      <c r="H419" s="364"/>
      <c r="I419" s="340"/>
      <c r="J419" s="362">
        <v>150402</v>
      </c>
      <c r="K419" s="342"/>
      <c r="L419" s="334"/>
      <c r="N419" s="312"/>
    </row>
    <row r="420" spans="2:14" x14ac:dyDescent="0.2">
      <c r="B420" s="478">
        <v>44312</v>
      </c>
      <c r="C420" s="357"/>
      <c r="D420" s="357" t="s">
        <v>188</v>
      </c>
      <c r="E420" s="336"/>
      <c r="F420" s="337"/>
      <c r="G420" s="370"/>
      <c r="H420" s="364"/>
      <c r="I420" s="340"/>
      <c r="J420" s="362">
        <v>190400</v>
      </c>
      <c r="K420" s="342"/>
      <c r="L420" s="334"/>
      <c r="N420" s="312"/>
    </row>
    <row r="421" spans="2:14" x14ac:dyDescent="0.2">
      <c r="B421" s="478">
        <v>44341</v>
      </c>
      <c r="C421" s="357"/>
      <c r="D421" s="357" t="s">
        <v>247</v>
      </c>
      <c r="E421" s="336"/>
      <c r="F421" s="337"/>
      <c r="G421" s="370"/>
      <c r="H421" s="364"/>
      <c r="I421" s="340"/>
      <c r="J421" s="362">
        <v>151838</v>
      </c>
      <c r="K421" s="342"/>
      <c r="L421" s="354"/>
      <c r="N421" s="312"/>
    </row>
    <row r="422" spans="2:14" x14ac:dyDescent="0.2">
      <c r="B422" s="478">
        <v>44341</v>
      </c>
      <c r="C422" s="357"/>
      <c r="D422" s="357" t="s">
        <v>188</v>
      </c>
      <c r="E422" s="336"/>
      <c r="F422" s="337"/>
      <c r="G422" s="370"/>
      <c r="H422" s="364"/>
      <c r="I422" s="340"/>
      <c r="J422" s="362">
        <v>190400</v>
      </c>
      <c r="K422" s="342"/>
      <c r="L422" s="354"/>
      <c r="N422" s="312"/>
    </row>
    <row r="423" spans="2:14" x14ac:dyDescent="0.2">
      <c r="B423" s="478">
        <v>44368</v>
      </c>
      <c r="C423" s="357"/>
      <c r="D423" s="357" t="s">
        <v>188</v>
      </c>
      <c r="E423" s="336"/>
      <c r="F423" s="337"/>
      <c r="G423" s="370"/>
      <c r="H423" s="364"/>
      <c r="I423" s="340"/>
      <c r="J423" s="362">
        <v>190400</v>
      </c>
      <c r="K423" s="342"/>
      <c r="L423" s="334"/>
      <c r="N423" s="312"/>
    </row>
    <row r="424" spans="2:14" x14ac:dyDescent="0.2">
      <c r="B424" s="478">
        <v>44369</v>
      </c>
      <c r="C424" s="357"/>
      <c r="D424" s="357" t="s">
        <v>247</v>
      </c>
      <c r="E424" s="336"/>
      <c r="F424" s="337"/>
      <c r="G424" s="370"/>
      <c r="H424" s="364"/>
      <c r="I424" s="340"/>
      <c r="J424" s="362">
        <v>151838</v>
      </c>
      <c r="K424" s="342"/>
      <c r="L424" s="334"/>
      <c r="N424" s="312"/>
    </row>
    <row r="425" spans="2:14" x14ac:dyDescent="0.2">
      <c r="B425" s="478">
        <v>44400</v>
      </c>
      <c r="C425" s="357"/>
      <c r="D425" s="357" t="s">
        <v>188</v>
      </c>
      <c r="E425" s="336"/>
      <c r="F425" s="337"/>
      <c r="G425" s="370"/>
      <c r="H425" s="364"/>
      <c r="I425" s="340"/>
      <c r="J425" s="362">
        <v>190400</v>
      </c>
      <c r="K425" s="342"/>
      <c r="L425" s="334"/>
      <c r="N425" s="312"/>
    </row>
    <row r="426" spans="2:14" x14ac:dyDescent="0.2">
      <c r="B426" s="478">
        <v>44404</v>
      </c>
      <c r="C426" s="357"/>
      <c r="D426" s="357" t="s">
        <v>247</v>
      </c>
      <c r="E426" s="336"/>
      <c r="F426" s="337"/>
      <c r="G426" s="370"/>
      <c r="H426" s="364"/>
      <c r="I426" s="340"/>
      <c r="J426" s="362">
        <v>151838</v>
      </c>
      <c r="K426" s="342"/>
      <c r="L426" s="334"/>
      <c r="N426" s="312"/>
    </row>
    <row r="427" spans="2:14" x14ac:dyDescent="0.2">
      <c r="B427" s="478"/>
      <c r="C427" s="357"/>
      <c r="D427" s="357"/>
      <c r="E427" s="336"/>
      <c r="F427" s="337"/>
      <c r="G427" s="370"/>
      <c r="H427" s="364"/>
      <c r="I427" s="340"/>
      <c r="J427" s="345"/>
      <c r="K427" s="342"/>
      <c r="L427" s="334"/>
      <c r="N427" s="312"/>
    </row>
    <row r="428" spans="2:14" x14ac:dyDescent="0.2">
      <c r="B428" s="478"/>
      <c r="C428" s="357"/>
      <c r="D428" s="357"/>
      <c r="E428" s="336"/>
      <c r="F428" s="337"/>
      <c r="G428" s="370"/>
      <c r="H428" s="364"/>
      <c r="I428" s="340"/>
      <c r="J428" s="345"/>
      <c r="K428" s="342"/>
      <c r="L428" s="334"/>
      <c r="N428" s="312"/>
    </row>
    <row r="429" spans="2:14" x14ac:dyDescent="0.2">
      <c r="B429" s="478"/>
      <c r="C429" s="357"/>
      <c r="D429" s="357"/>
      <c r="E429" s="336"/>
      <c r="F429" s="337"/>
      <c r="G429" s="370"/>
      <c r="H429" s="364"/>
      <c r="I429" s="340"/>
      <c r="J429" s="345"/>
      <c r="K429" s="342"/>
      <c r="L429" s="334"/>
      <c r="N429" s="312"/>
    </row>
    <row r="430" spans="2:14" x14ac:dyDescent="0.2">
      <c r="B430" s="478"/>
      <c r="C430" s="357"/>
      <c r="D430" s="357"/>
      <c r="E430" s="336"/>
      <c r="F430" s="337"/>
      <c r="G430" s="370"/>
      <c r="H430" s="364"/>
      <c r="I430" s="340"/>
      <c r="J430" s="345"/>
      <c r="K430" s="342"/>
      <c r="L430" s="334"/>
      <c r="N430" s="312"/>
    </row>
    <row r="431" spans="2:14" x14ac:dyDescent="0.2">
      <c r="B431" s="476"/>
      <c r="C431" s="343"/>
      <c r="D431" s="343"/>
      <c r="E431" s="336"/>
      <c r="F431" s="337"/>
      <c r="G431" s="370"/>
      <c r="H431" s="364"/>
      <c r="I431" s="340"/>
      <c r="J431" s="345"/>
      <c r="K431" s="342"/>
      <c r="L431" s="334"/>
      <c r="N431" s="312"/>
    </row>
    <row r="432" spans="2:14" x14ac:dyDescent="0.2">
      <c r="B432" s="479"/>
      <c r="C432" s="402"/>
      <c r="D432" s="334"/>
      <c r="E432" s="336"/>
      <c r="F432" s="337"/>
      <c r="G432" s="370"/>
      <c r="H432" s="364"/>
      <c r="I432" s="340"/>
      <c r="J432" s="345"/>
      <c r="K432" s="342"/>
      <c r="L432" s="334"/>
      <c r="N432" s="312"/>
    </row>
    <row r="433" spans="2:14" x14ac:dyDescent="0.2">
      <c r="B433" s="477"/>
      <c r="C433" s="335"/>
      <c r="D433" s="352"/>
      <c r="E433" s="336"/>
      <c r="F433" s="337"/>
      <c r="G433" s="370"/>
      <c r="H433" s="364"/>
      <c r="I433" s="340"/>
      <c r="J433" s="350"/>
      <c r="K433" s="342"/>
      <c r="L433" s="334"/>
      <c r="N433" s="312"/>
    </row>
    <row r="434" spans="2:14" x14ac:dyDescent="0.2">
      <c r="B434" s="479"/>
      <c r="C434" s="343"/>
      <c r="D434" s="343"/>
      <c r="E434" s="336"/>
      <c r="F434" s="337"/>
      <c r="G434" s="370"/>
      <c r="H434" s="364"/>
      <c r="I434" s="340"/>
      <c r="J434" s="341"/>
      <c r="K434" s="342"/>
      <c r="L434" s="334"/>
      <c r="N434" s="312"/>
    </row>
    <row r="435" spans="2:14" x14ac:dyDescent="0.2">
      <c r="B435" s="476"/>
      <c r="C435" s="343"/>
      <c r="D435" s="343"/>
      <c r="E435" s="336"/>
      <c r="F435" s="337"/>
      <c r="G435" s="370"/>
      <c r="H435" s="364"/>
      <c r="I435" s="340"/>
      <c r="J435" s="350"/>
      <c r="K435" s="342"/>
      <c r="L435" s="334"/>
      <c r="N435" s="312"/>
    </row>
    <row r="436" spans="2:14" x14ac:dyDescent="0.2">
      <c r="B436" s="476"/>
      <c r="C436" s="343"/>
      <c r="D436" s="343"/>
      <c r="E436" s="336"/>
      <c r="F436" s="337"/>
      <c r="G436" s="370"/>
      <c r="H436" s="364"/>
      <c r="I436" s="340"/>
      <c r="J436" s="341"/>
      <c r="K436" s="342"/>
      <c r="L436" s="334"/>
      <c r="N436" s="312"/>
    </row>
    <row r="437" spans="2:14" x14ac:dyDescent="0.2">
      <c r="B437" s="477"/>
      <c r="C437" s="335"/>
      <c r="D437" s="352"/>
      <c r="E437" s="336"/>
      <c r="F437" s="337"/>
      <c r="G437" s="370"/>
      <c r="H437" s="364"/>
      <c r="I437" s="340"/>
      <c r="J437" s="341"/>
      <c r="K437" s="342"/>
      <c r="L437" s="334"/>
      <c r="N437" s="312"/>
    </row>
    <row r="438" spans="2:14" x14ac:dyDescent="0.2">
      <c r="B438" s="476"/>
      <c r="C438" s="343"/>
      <c r="D438" s="343"/>
      <c r="E438" s="336"/>
      <c r="F438" s="337"/>
      <c r="G438" s="370"/>
      <c r="H438" s="364"/>
      <c r="I438" s="340"/>
      <c r="J438" s="341"/>
      <c r="K438" s="342"/>
      <c r="L438" s="334"/>
      <c r="N438" s="312"/>
    </row>
    <row r="439" spans="2:14" x14ac:dyDescent="0.2">
      <c r="B439" s="476"/>
      <c r="C439" s="343"/>
      <c r="D439" s="343"/>
      <c r="E439" s="336"/>
      <c r="F439" s="337"/>
      <c r="G439" s="370"/>
      <c r="H439" s="364"/>
      <c r="I439" s="340"/>
      <c r="J439" s="341"/>
      <c r="K439" s="342"/>
      <c r="L439" s="334"/>
      <c r="N439" s="312"/>
    </row>
    <row r="440" spans="2:14" x14ac:dyDescent="0.2">
      <c r="B440" s="476"/>
      <c r="C440" s="343"/>
      <c r="D440" s="343"/>
      <c r="E440" s="336"/>
      <c r="F440" s="337"/>
      <c r="G440" s="370"/>
      <c r="H440" s="364"/>
      <c r="I440" s="340"/>
      <c r="J440" s="350"/>
      <c r="K440" s="342"/>
      <c r="L440" s="334"/>
      <c r="N440" s="312"/>
    </row>
    <row r="441" spans="2:14" x14ac:dyDescent="0.2">
      <c r="B441" s="476"/>
      <c r="C441" s="343"/>
      <c r="D441" s="343"/>
      <c r="E441" s="336"/>
      <c r="F441" s="337"/>
      <c r="G441" s="370"/>
      <c r="H441" s="364"/>
      <c r="I441" s="340"/>
      <c r="J441" s="341"/>
      <c r="K441" s="342"/>
      <c r="L441" s="334"/>
      <c r="N441" s="312"/>
    </row>
    <row r="442" spans="2:14" x14ac:dyDescent="0.2">
      <c r="B442" s="476"/>
      <c r="C442" s="343"/>
      <c r="D442" s="343"/>
      <c r="E442" s="336"/>
      <c r="F442" s="337"/>
      <c r="G442" s="370"/>
      <c r="H442" s="364"/>
      <c r="I442" s="340"/>
      <c r="J442" s="341"/>
      <c r="K442" s="342"/>
      <c r="L442" s="334"/>
      <c r="N442" s="312"/>
    </row>
    <row r="443" spans="2:14" x14ac:dyDescent="0.2">
      <c r="B443" s="476"/>
      <c r="C443" s="343"/>
      <c r="D443" s="343"/>
      <c r="E443" s="336"/>
      <c r="F443" s="337"/>
      <c r="G443" s="370"/>
      <c r="H443" s="364"/>
      <c r="I443" s="340"/>
      <c r="J443" s="341"/>
      <c r="K443" s="342"/>
      <c r="L443" s="334"/>
      <c r="N443" s="312"/>
    </row>
    <row r="444" spans="2:14" x14ac:dyDescent="0.2">
      <c r="B444" s="477"/>
      <c r="C444" s="335"/>
      <c r="D444" s="335"/>
      <c r="E444" s="336"/>
      <c r="F444" s="337"/>
      <c r="G444" s="370"/>
      <c r="H444" s="364"/>
      <c r="I444" s="340"/>
      <c r="J444" s="341"/>
      <c r="K444" s="342"/>
      <c r="L444" s="334"/>
      <c r="N444" s="312"/>
    </row>
    <row r="445" spans="2:14" x14ac:dyDescent="0.2">
      <c r="B445" s="476"/>
      <c r="C445" s="343"/>
      <c r="D445" s="343"/>
      <c r="E445" s="336"/>
      <c r="F445" s="337"/>
      <c r="G445" s="370"/>
      <c r="H445" s="364"/>
      <c r="I445" s="340"/>
      <c r="J445" s="341"/>
      <c r="K445" s="342"/>
      <c r="L445" s="334"/>
      <c r="N445" s="312"/>
    </row>
    <row r="446" spans="2:14" x14ac:dyDescent="0.2">
      <c r="B446" s="476"/>
      <c r="C446" s="343"/>
      <c r="D446" s="343"/>
      <c r="E446" s="336"/>
      <c r="F446" s="337"/>
      <c r="G446" s="370"/>
      <c r="H446" s="364"/>
      <c r="I446" s="340"/>
      <c r="J446" s="341"/>
      <c r="K446" s="342"/>
      <c r="L446" s="334"/>
      <c r="N446" s="312"/>
    </row>
    <row r="447" spans="2:14" x14ac:dyDescent="0.2">
      <c r="B447" s="476"/>
      <c r="C447" s="343"/>
      <c r="D447" s="343"/>
      <c r="E447" s="336"/>
      <c r="F447" s="337"/>
      <c r="G447" s="370"/>
      <c r="H447" s="364"/>
      <c r="I447" s="340"/>
      <c r="J447" s="341"/>
      <c r="K447" s="342"/>
      <c r="L447" s="334"/>
      <c r="N447" s="312"/>
    </row>
    <row r="448" spans="2:14" x14ac:dyDescent="0.2">
      <c r="B448" s="476"/>
      <c r="C448" s="343"/>
      <c r="D448" s="343"/>
      <c r="E448" s="336"/>
      <c r="F448" s="337"/>
      <c r="G448" s="370"/>
      <c r="H448" s="364"/>
      <c r="I448" s="340"/>
      <c r="J448" s="341"/>
      <c r="K448" s="342"/>
      <c r="L448" s="334"/>
      <c r="N448" s="312"/>
    </row>
    <row r="449" spans="2:14" x14ac:dyDescent="0.2">
      <c r="B449" s="476"/>
      <c r="C449" s="343"/>
      <c r="D449" s="343"/>
      <c r="E449" s="336"/>
      <c r="F449" s="337"/>
      <c r="G449" s="370"/>
      <c r="H449" s="364"/>
      <c r="I449" s="340"/>
      <c r="J449" s="341"/>
      <c r="K449" s="342"/>
      <c r="L449" s="334"/>
      <c r="N449" s="312"/>
    </row>
    <row r="450" spans="2:14" ht="15.75" x14ac:dyDescent="0.25">
      <c r="B450" s="474"/>
      <c r="C450" s="119" t="s">
        <v>51</v>
      </c>
      <c r="D450" s="119" t="s">
        <v>52</v>
      </c>
      <c r="E450" s="121">
        <f>'PROYECCION 2021'!C35</f>
        <v>2500000</v>
      </c>
      <c r="F450" s="122">
        <f>SUM(F451:F481)</f>
        <v>0</v>
      </c>
      <c r="G450" s="122">
        <f>SUM(G451:G481)</f>
        <v>514200</v>
      </c>
      <c r="H450" s="122">
        <f>SUM(H451:H480)</f>
        <v>0</v>
      </c>
      <c r="I450" s="123">
        <f>E450+F450+G450-H450</f>
        <v>3014200</v>
      </c>
      <c r="J450" s="223">
        <f>SUM(J451:J480)</f>
        <v>1062344</v>
      </c>
      <c r="K450" s="141">
        <f>I450-J450</f>
        <v>1951856</v>
      </c>
      <c r="L450" s="145">
        <f>K450</f>
        <v>1951856</v>
      </c>
      <c r="N450" s="312"/>
    </row>
    <row r="451" spans="2:14" x14ac:dyDescent="0.2">
      <c r="B451" s="476">
        <v>44218</v>
      </c>
      <c r="C451" s="343"/>
      <c r="D451" s="343" t="s">
        <v>203</v>
      </c>
      <c r="E451" s="336"/>
      <c r="F451" s="337"/>
      <c r="G451" s="338"/>
      <c r="H451" s="364"/>
      <c r="I451" s="340"/>
      <c r="J451" s="345">
        <v>56600</v>
      </c>
      <c r="K451" s="342"/>
      <c r="L451" s="334"/>
      <c r="N451" s="312"/>
    </row>
    <row r="452" spans="2:14" x14ac:dyDescent="0.2">
      <c r="B452" s="476">
        <v>44231</v>
      </c>
      <c r="C452" s="343"/>
      <c r="D452" s="343" t="s">
        <v>205</v>
      </c>
      <c r="E452" s="336"/>
      <c r="F452" s="337"/>
      <c r="G452" s="338"/>
      <c r="H452" s="364"/>
      <c r="I452" s="340"/>
      <c r="J452" s="345">
        <v>53090</v>
      </c>
      <c r="K452" s="342"/>
      <c r="L452" s="334"/>
      <c r="N452" s="312"/>
    </row>
    <row r="453" spans="2:14" x14ac:dyDescent="0.2">
      <c r="B453" s="476">
        <v>44239</v>
      </c>
      <c r="C453" s="343"/>
      <c r="D453" s="343" t="s">
        <v>203</v>
      </c>
      <c r="E453" s="336"/>
      <c r="F453" s="337"/>
      <c r="G453" s="338"/>
      <c r="H453" s="364"/>
      <c r="I453" s="340"/>
      <c r="J453" s="345">
        <v>52300</v>
      </c>
      <c r="K453" s="342"/>
      <c r="L453" s="334"/>
      <c r="N453" s="312"/>
    </row>
    <row r="454" spans="2:14" x14ac:dyDescent="0.2">
      <c r="B454" s="476">
        <v>44243</v>
      </c>
      <c r="C454" s="343"/>
      <c r="D454" s="343" t="s">
        <v>205</v>
      </c>
      <c r="E454" s="336"/>
      <c r="F454" s="337"/>
      <c r="G454" s="338"/>
      <c r="H454" s="364"/>
      <c r="I454" s="340"/>
      <c r="J454" s="345">
        <v>52424</v>
      </c>
      <c r="K454" s="342"/>
      <c r="L454" s="334"/>
      <c r="M454" s="139"/>
      <c r="N454" s="312"/>
    </row>
    <row r="455" spans="2:14" x14ac:dyDescent="0.2">
      <c r="B455" s="476">
        <v>44271</v>
      </c>
      <c r="C455" s="343"/>
      <c r="D455" s="343" t="s">
        <v>203</v>
      </c>
      <c r="E455" s="336"/>
      <c r="F455" s="337"/>
      <c r="G455" s="338"/>
      <c r="H455" s="364"/>
      <c r="I455" s="340"/>
      <c r="J455" s="362">
        <v>171100</v>
      </c>
      <c r="K455" s="342"/>
      <c r="L455" s="334"/>
      <c r="N455" s="312"/>
    </row>
    <row r="456" spans="2:14" x14ac:dyDescent="0.2">
      <c r="B456" s="476">
        <v>44271</v>
      </c>
      <c r="C456" s="343"/>
      <c r="D456" s="343" t="s">
        <v>261</v>
      </c>
      <c r="E456" s="336"/>
      <c r="F456" s="337"/>
      <c r="G456" s="338"/>
      <c r="H456" s="364"/>
      <c r="I456" s="340"/>
      <c r="J456" s="362">
        <v>59620</v>
      </c>
      <c r="K456" s="342"/>
      <c r="L456" s="334"/>
      <c r="N456" s="312"/>
    </row>
    <row r="457" spans="2:14" x14ac:dyDescent="0.2">
      <c r="B457" s="476">
        <v>44293</v>
      </c>
      <c r="C457" s="343"/>
      <c r="D457" s="343" t="s">
        <v>203</v>
      </c>
      <c r="E457" s="336"/>
      <c r="F457" s="337"/>
      <c r="G457" s="338"/>
      <c r="H457" s="364"/>
      <c r="I457" s="340"/>
      <c r="J457" s="362">
        <v>86300</v>
      </c>
      <c r="K457" s="342"/>
      <c r="L457" s="334"/>
      <c r="N457" s="312"/>
    </row>
    <row r="458" spans="2:14" x14ac:dyDescent="0.2">
      <c r="B458" s="597">
        <v>44300</v>
      </c>
      <c r="C458" s="357"/>
      <c r="D458" s="357" t="s">
        <v>261</v>
      </c>
      <c r="E458" s="336"/>
      <c r="F458" s="337"/>
      <c r="G458" s="338"/>
      <c r="H458" s="364"/>
      <c r="I458" s="340"/>
      <c r="J458" s="362">
        <v>89730</v>
      </c>
      <c r="K458" s="342"/>
      <c r="L458" s="334"/>
      <c r="N458" s="312"/>
    </row>
    <row r="459" spans="2:14" x14ac:dyDescent="0.2">
      <c r="B459" s="478">
        <v>44336</v>
      </c>
      <c r="C459" s="357"/>
      <c r="D459" s="357" t="s">
        <v>203</v>
      </c>
      <c r="E459" s="336"/>
      <c r="F459" s="337"/>
      <c r="G459" s="338"/>
      <c r="H459" s="364"/>
      <c r="I459" s="340"/>
      <c r="J459" s="362">
        <v>120200</v>
      </c>
      <c r="K459" s="342"/>
      <c r="L459" s="334"/>
      <c r="N459" s="312"/>
    </row>
    <row r="460" spans="2:14" x14ac:dyDescent="0.2">
      <c r="B460" s="478">
        <v>44337</v>
      </c>
      <c r="C460" s="357"/>
      <c r="D460" s="357" t="s">
        <v>205</v>
      </c>
      <c r="E460" s="336"/>
      <c r="F460" s="337"/>
      <c r="G460" s="338"/>
      <c r="H460" s="364"/>
      <c r="I460" s="340"/>
      <c r="J460" s="362">
        <v>59680</v>
      </c>
      <c r="K460" s="342"/>
      <c r="L460" s="334"/>
      <c r="N460" s="312"/>
    </row>
    <row r="461" spans="2:14" x14ac:dyDescent="0.2">
      <c r="B461" s="478">
        <v>44364</v>
      </c>
      <c r="C461" s="357"/>
      <c r="D461" s="357" t="s">
        <v>205</v>
      </c>
      <c r="E461" s="336"/>
      <c r="F461" s="337"/>
      <c r="G461" s="338"/>
      <c r="H461" s="364"/>
      <c r="I461" s="340"/>
      <c r="J461" s="362">
        <v>59690</v>
      </c>
      <c r="K461" s="342"/>
      <c r="L461" s="334"/>
      <c r="N461" s="312"/>
    </row>
    <row r="462" spans="2:14" x14ac:dyDescent="0.2">
      <c r="B462" s="478">
        <v>44364</v>
      </c>
      <c r="C462" s="357"/>
      <c r="D462" s="357" t="s">
        <v>203</v>
      </c>
      <c r="E462" s="336"/>
      <c r="F462" s="337"/>
      <c r="G462" s="338"/>
      <c r="H462" s="364"/>
      <c r="I462" s="340"/>
      <c r="J462" s="362">
        <v>56600</v>
      </c>
      <c r="K462" s="342"/>
      <c r="L462" s="334"/>
      <c r="N462" s="312"/>
    </row>
    <row r="463" spans="2:14" x14ac:dyDescent="0.2">
      <c r="B463" s="478">
        <v>44399</v>
      </c>
      <c r="C463" s="357"/>
      <c r="D463" s="357" t="s">
        <v>203</v>
      </c>
      <c r="E463" s="336"/>
      <c r="F463" s="337"/>
      <c r="G463" s="338"/>
      <c r="H463" s="364"/>
      <c r="I463" s="340"/>
      <c r="J463" s="362">
        <v>85400</v>
      </c>
      <c r="K463" s="342"/>
      <c r="L463" s="334"/>
      <c r="N463" s="312"/>
    </row>
    <row r="464" spans="2:14" x14ac:dyDescent="0.2">
      <c r="B464" s="478">
        <v>44399</v>
      </c>
      <c r="C464" s="357"/>
      <c r="D464" s="357" t="s">
        <v>205</v>
      </c>
      <c r="E464" s="336"/>
      <c r="F464" s="337"/>
      <c r="G464" s="338"/>
      <c r="H464" s="364"/>
      <c r="I464" s="340"/>
      <c r="J464" s="362">
        <v>59610</v>
      </c>
      <c r="K464" s="342"/>
      <c r="L464" s="334"/>
      <c r="N464" s="312"/>
    </row>
    <row r="465" spans="2:14" x14ac:dyDescent="0.2">
      <c r="B465" s="478"/>
      <c r="C465" s="357"/>
      <c r="D465" s="357"/>
      <c r="E465" s="336"/>
      <c r="F465" s="337"/>
      <c r="G465" s="338"/>
      <c r="H465" s="364"/>
      <c r="I465" s="340"/>
      <c r="J465" s="362"/>
      <c r="K465" s="342"/>
      <c r="L465" s="334"/>
      <c r="N465" s="312"/>
    </row>
    <row r="466" spans="2:14" x14ac:dyDescent="0.2">
      <c r="B466" s="476"/>
      <c r="C466" s="343"/>
      <c r="D466" s="343"/>
      <c r="E466" s="336"/>
      <c r="F466" s="337"/>
      <c r="G466" s="338"/>
      <c r="H466" s="364"/>
      <c r="I466" s="340"/>
      <c r="J466" s="362"/>
      <c r="K466" s="342"/>
      <c r="L466" s="334"/>
      <c r="N466" s="312"/>
    </row>
    <row r="467" spans="2:14" x14ac:dyDescent="0.2">
      <c r="B467" s="476"/>
      <c r="C467" s="343"/>
      <c r="D467" s="343"/>
      <c r="E467" s="336"/>
      <c r="F467" s="337"/>
      <c r="G467" s="338"/>
      <c r="H467" s="364"/>
      <c r="I467" s="340"/>
      <c r="J467" s="345"/>
      <c r="K467" s="342"/>
      <c r="L467" s="334"/>
      <c r="N467" s="312"/>
    </row>
    <row r="468" spans="2:14" x14ac:dyDescent="0.2">
      <c r="B468" s="476"/>
      <c r="C468" s="343"/>
      <c r="D468" s="343"/>
      <c r="E468" s="336"/>
      <c r="F468" s="337"/>
      <c r="G468" s="338"/>
      <c r="H468" s="364"/>
      <c r="I468" s="340"/>
      <c r="J468" s="345"/>
      <c r="K468" s="342"/>
      <c r="L468" s="334"/>
      <c r="N468" s="312"/>
    </row>
    <row r="469" spans="2:14" x14ac:dyDescent="0.2">
      <c r="B469" s="476"/>
      <c r="C469" s="343"/>
      <c r="D469" s="343"/>
      <c r="E469" s="336"/>
      <c r="F469" s="337"/>
      <c r="G469" s="338"/>
      <c r="H469" s="364"/>
      <c r="I469" s="340"/>
      <c r="J469" s="345"/>
      <c r="K469" s="342"/>
      <c r="L469" s="334"/>
      <c r="N469" s="312"/>
    </row>
    <row r="470" spans="2:14" x14ac:dyDescent="0.2">
      <c r="B470" s="477"/>
      <c r="C470" s="335"/>
      <c r="D470" s="352"/>
      <c r="E470" s="336"/>
      <c r="F470" s="337"/>
      <c r="G470" s="338"/>
      <c r="H470" s="364"/>
      <c r="I470" s="340"/>
      <c r="J470" s="345"/>
      <c r="K470" s="342"/>
      <c r="L470" s="334"/>
      <c r="N470" s="312"/>
    </row>
    <row r="471" spans="2:14" x14ac:dyDescent="0.2">
      <c r="B471" s="478"/>
      <c r="C471" s="357"/>
      <c r="D471" s="357"/>
      <c r="E471" s="336"/>
      <c r="F471" s="337"/>
      <c r="G471" s="338"/>
      <c r="H471" s="364"/>
      <c r="I471" s="340"/>
      <c r="J471" s="341"/>
      <c r="K471" s="342"/>
      <c r="L471" s="334"/>
      <c r="N471" s="312"/>
    </row>
    <row r="472" spans="2:14" x14ac:dyDescent="0.2">
      <c r="B472" s="476"/>
      <c r="C472" s="343"/>
      <c r="D472" s="343"/>
      <c r="E472" s="336"/>
      <c r="F472" s="337"/>
      <c r="G472" s="338"/>
      <c r="H472" s="364"/>
      <c r="I472" s="340"/>
      <c r="J472" s="341"/>
      <c r="K472" s="342"/>
      <c r="L472" s="334"/>
      <c r="N472" s="312"/>
    </row>
    <row r="473" spans="2:14" x14ac:dyDescent="0.2">
      <c r="B473" s="477"/>
      <c r="C473" s="335"/>
      <c r="D473" s="352"/>
      <c r="E473" s="336"/>
      <c r="F473" s="337"/>
      <c r="G473" s="338"/>
      <c r="H473" s="364"/>
      <c r="I473" s="340"/>
      <c r="J473" s="341"/>
      <c r="K473" s="342"/>
      <c r="L473" s="334"/>
      <c r="N473" s="312"/>
    </row>
    <row r="474" spans="2:14" x14ac:dyDescent="0.2">
      <c r="B474" s="476"/>
      <c r="C474" s="343"/>
      <c r="D474" s="343"/>
      <c r="E474" s="336"/>
      <c r="F474" s="337"/>
      <c r="G474" s="338"/>
      <c r="H474" s="364"/>
      <c r="I474" s="340"/>
      <c r="J474" s="341"/>
      <c r="K474" s="342"/>
      <c r="L474" s="334"/>
      <c r="N474" s="312"/>
    </row>
    <row r="475" spans="2:14" x14ac:dyDescent="0.2">
      <c r="B475" s="476"/>
      <c r="C475" s="343"/>
      <c r="D475" s="343"/>
      <c r="E475" s="336"/>
      <c r="F475" s="337"/>
      <c r="G475" s="338"/>
      <c r="H475" s="364"/>
      <c r="I475" s="340"/>
      <c r="J475" s="341"/>
      <c r="K475" s="342"/>
      <c r="L475" s="334"/>
      <c r="N475" s="312"/>
    </row>
    <row r="476" spans="2:14" x14ac:dyDescent="0.2">
      <c r="B476" s="476"/>
      <c r="C476" s="343"/>
      <c r="D476" s="343"/>
      <c r="E476" s="336"/>
      <c r="F476" s="337"/>
      <c r="G476" s="338"/>
      <c r="H476" s="364"/>
      <c r="I476" s="340"/>
      <c r="J476" s="341"/>
      <c r="K476" s="342"/>
      <c r="L476" s="334"/>
      <c r="N476" s="312"/>
    </row>
    <row r="477" spans="2:14" x14ac:dyDescent="0.2">
      <c r="B477" s="476"/>
      <c r="C477" s="343"/>
      <c r="D477" s="343"/>
      <c r="E477" s="336"/>
      <c r="F477" s="337"/>
      <c r="G477" s="338"/>
      <c r="H477" s="364"/>
      <c r="I477" s="340"/>
      <c r="J477" s="341"/>
      <c r="K477" s="342"/>
      <c r="L477" s="334"/>
      <c r="N477" s="312"/>
    </row>
    <row r="478" spans="2:14" x14ac:dyDescent="0.2">
      <c r="B478" s="476"/>
      <c r="C478" s="343"/>
      <c r="D478" s="343"/>
      <c r="E478" s="336"/>
      <c r="F478" s="337"/>
      <c r="G478" s="338"/>
      <c r="H478" s="364"/>
      <c r="I478" s="340"/>
      <c r="J478" s="341"/>
      <c r="K478" s="342"/>
      <c r="L478" s="334"/>
      <c r="N478" s="312"/>
    </row>
    <row r="479" spans="2:14" x14ac:dyDescent="0.2">
      <c r="B479" s="476"/>
      <c r="C479" s="343"/>
      <c r="D479" s="343"/>
      <c r="E479" s="336"/>
      <c r="F479" s="337"/>
      <c r="G479" s="338"/>
      <c r="H479" s="364"/>
      <c r="I479" s="340"/>
      <c r="J479" s="341"/>
      <c r="K479" s="342"/>
      <c r="L479" s="334"/>
      <c r="N479" s="312"/>
    </row>
    <row r="480" spans="2:14" x14ac:dyDescent="0.2">
      <c r="B480" s="476"/>
      <c r="C480" s="343"/>
      <c r="D480" s="343"/>
      <c r="E480" s="336"/>
      <c r="F480" s="337"/>
      <c r="G480" s="338"/>
      <c r="H480" s="364"/>
      <c r="I480" s="340"/>
      <c r="J480" s="341"/>
      <c r="K480" s="342"/>
      <c r="L480" s="334"/>
      <c r="N480" s="312"/>
    </row>
    <row r="481" spans="2:14" ht="15.75" x14ac:dyDescent="0.25">
      <c r="B481" s="474"/>
      <c r="C481" s="119">
        <v>2020120207</v>
      </c>
      <c r="D481" s="119" t="s">
        <v>54</v>
      </c>
      <c r="E481" s="121">
        <f>'PROYECCION 2021'!C36</f>
        <v>1500000</v>
      </c>
      <c r="F481" s="122">
        <f>SUM(F482:F493)</f>
        <v>0</v>
      </c>
      <c r="G481" s="122">
        <f>SUM(G482:G493)</f>
        <v>514200</v>
      </c>
      <c r="H481" s="122">
        <f>SUM(H482:H493)</f>
        <v>0</v>
      </c>
      <c r="I481" s="123">
        <f>E481+F481+G481-H481</f>
        <v>2014200</v>
      </c>
      <c r="J481" s="224">
        <f>SUM(J482:J493)</f>
        <v>1214200</v>
      </c>
      <c r="K481" s="141">
        <f>I481-J481</f>
        <v>800000</v>
      </c>
      <c r="L481" s="145">
        <f>K481</f>
        <v>800000</v>
      </c>
      <c r="N481" s="312"/>
    </row>
    <row r="482" spans="2:14" x14ac:dyDescent="0.2">
      <c r="B482" s="476">
        <v>44223</v>
      </c>
      <c r="C482" s="343"/>
      <c r="D482" s="396" t="s">
        <v>191</v>
      </c>
      <c r="E482" s="336"/>
      <c r="F482" s="337"/>
      <c r="G482" s="338"/>
      <c r="H482" s="364"/>
      <c r="I482" s="340"/>
      <c r="J482" s="345">
        <v>200000</v>
      </c>
      <c r="K482" s="342"/>
      <c r="L482" s="334"/>
      <c r="N482" s="312"/>
    </row>
    <row r="483" spans="2:14" x14ac:dyDescent="0.2">
      <c r="B483" s="478">
        <v>44260</v>
      </c>
      <c r="C483" s="357"/>
      <c r="D483" s="357" t="s">
        <v>255</v>
      </c>
      <c r="E483" s="336"/>
      <c r="F483" s="337"/>
      <c r="G483" s="338"/>
      <c r="H483" s="364"/>
      <c r="I483" s="340"/>
      <c r="J483" s="341">
        <v>14200</v>
      </c>
      <c r="K483" s="342"/>
      <c r="L483" s="334"/>
      <c r="N483" s="312"/>
    </row>
    <row r="484" spans="2:14" x14ac:dyDescent="0.2">
      <c r="B484" s="476">
        <v>44291</v>
      </c>
      <c r="C484" s="343"/>
      <c r="D484" s="396" t="s">
        <v>269</v>
      </c>
      <c r="E484" s="336"/>
      <c r="F484" s="337"/>
      <c r="G484" s="338"/>
      <c r="H484" s="364"/>
      <c r="I484" s="340"/>
      <c r="J484" s="362">
        <v>200000</v>
      </c>
      <c r="K484" s="342"/>
      <c r="L484" s="334"/>
      <c r="N484" s="312"/>
    </row>
    <row r="485" spans="2:14" x14ac:dyDescent="0.2">
      <c r="B485" s="478">
        <v>44319</v>
      </c>
      <c r="C485" s="357"/>
      <c r="D485" s="357" t="s">
        <v>283</v>
      </c>
      <c r="E485" s="336"/>
      <c r="F485" s="337"/>
      <c r="G485" s="338"/>
      <c r="H485" s="364"/>
      <c r="I485" s="340"/>
      <c r="J485" s="362">
        <v>200000</v>
      </c>
      <c r="K485" s="342"/>
      <c r="L485" s="334"/>
      <c r="N485" s="601"/>
    </row>
    <row r="486" spans="2:14" x14ac:dyDescent="0.2">
      <c r="B486" s="478">
        <v>44348</v>
      </c>
      <c r="C486" s="357"/>
      <c r="D486" s="357" t="s">
        <v>304</v>
      </c>
      <c r="E486" s="336"/>
      <c r="F486" s="337"/>
      <c r="G486" s="338"/>
      <c r="H486" s="364"/>
      <c r="I486" s="340"/>
      <c r="J486" s="362">
        <v>200000</v>
      </c>
      <c r="K486" s="342"/>
      <c r="L486" s="334"/>
      <c r="N486" s="601"/>
    </row>
    <row r="487" spans="2:14" x14ac:dyDescent="0.2">
      <c r="B487" s="478">
        <v>44378</v>
      </c>
      <c r="C487" s="357"/>
      <c r="D487" s="357" t="s">
        <v>314</v>
      </c>
      <c r="E487" s="336"/>
      <c r="F487" s="337"/>
      <c r="G487" s="338"/>
      <c r="H487" s="364"/>
      <c r="I487" s="340"/>
      <c r="J487" s="362">
        <v>200000</v>
      </c>
      <c r="K487" s="342"/>
      <c r="L487" s="334"/>
      <c r="N487" s="644"/>
    </row>
    <row r="488" spans="2:14" x14ac:dyDescent="0.2">
      <c r="B488" s="475">
        <v>44403</v>
      </c>
      <c r="C488" s="335"/>
      <c r="D488" s="352" t="s">
        <v>324</v>
      </c>
      <c r="E488" s="336"/>
      <c r="F488" s="337"/>
      <c r="G488" s="338">
        <v>514200</v>
      </c>
      <c r="H488" s="364"/>
      <c r="I488" s="340"/>
      <c r="J488" s="341"/>
      <c r="K488" s="342"/>
      <c r="L488" s="334"/>
      <c r="N488" s="312"/>
    </row>
    <row r="489" spans="2:14" x14ac:dyDescent="0.2">
      <c r="B489" s="645">
        <v>44410</v>
      </c>
      <c r="C489" s="646"/>
      <c r="D489" s="646" t="s">
        <v>327</v>
      </c>
      <c r="E489" s="336"/>
      <c r="F489" s="337"/>
      <c r="G489" s="338"/>
      <c r="H489" s="364"/>
      <c r="I489" s="340"/>
      <c r="J489" s="648">
        <v>200000</v>
      </c>
      <c r="K489" s="342"/>
      <c r="L489" s="334"/>
      <c r="N489" s="601"/>
    </row>
    <row r="490" spans="2:14" x14ac:dyDescent="0.2">
      <c r="B490" s="478"/>
      <c r="C490" s="357"/>
      <c r="D490" s="357"/>
      <c r="E490" s="336"/>
      <c r="F490" s="337"/>
      <c r="G490" s="338"/>
      <c r="H490" s="364"/>
      <c r="I490" s="340"/>
      <c r="J490" s="341"/>
      <c r="K490" s="342"/>
      <c r="L490" s="334"/>
      <c r="N490" s="312"/>
    </row>
    <row r="491" spans="2:14" x14ac:dyDescent="0.2">
      <c r="B491" s="478"/>
      <c r="C491" s="357"/>
      <c r="D491" s="357"/>
      <c r="E491" s="336"/>
      <c r="F491" s="337"/>
      <c r="G491" s="338"/>
      <c r="H491" s="364"/>
      <c r="I491" s="340"/>
      <c r="J491" s="341"/>
      <c r="K491" s="342"/>
      <c r="L491" s="334"/>
      <c r="N491" s="312"/>
    </row>
    <row r="492" spans="2:14" x14ac:dyDescent="0.2">
      <c r="B492" s="476"/>
      <c r="C492" s="343"/>
      <c r="D492" s="396"/>
      <c r="E492" s="336"/>
      <c r="F492" s="337"/>
      <c r="G492" s="338"/>
      <c r="H492" s="364"/>
      <c r="I492" s="340"/>
      <c r="J492" s="341"/>
      <c r="K492" s="342"/>
      <c r="L492" s="334"/>
      <c r="N492" s="312"/>
    </row>
    <row r="493" spans="2:14" x14ac:dyDescent="0.2">
      <c r="B493" s="476"/>
      <c r="C493" s="343"/>
      <c r="D493" s="396"/>
      <c r="E493" s="336"/>
      <c r="F493" s="337"/>
      <c r="G493" s="338"/>
      <c r="H493" s="364"/>
      <c r="I493" s="340"/>
      <c r="J493" s="341"/>
      <c r="K493" s="342"/>
      <c r="L493" s="334"/>
      <c r="N493" s="312"/>
    </row>
    <row r="494" spans="2:14" ht="15.75" x14ac:dyDescent="0.25">
      <c r="B494" s="474"/>
      <c r="C494" s="119" t="s">
        <v>55</v>
      </c>
      <c r="D494" s="119" t="s">
        <v>56</v>
      </c>
      <c r="E494" s="121">
        <v>0</v>
      </c>
      <c r="F494" s="122"/>
      <c r="G494" s="123"/>
      <c r="H494" s="123"/>
      <c r="I494" s="123">
        <f>E494+F494+G494-H494</f>
        <v>0</v>
      </c>
      <c r="J494" s="223"/>
      <c r="K494" s="142"/>
      <c r="L494" s="334"/>
      <c r="N494" s="312"/>
    </row>
    <row r="495" spans="2:14" x14ac:dyDescent="0.2">
      <c r="B495" s="476"/>
      <c r="C495" s="343"/>
      <c r="D495" s="343"/>
      <c r="E495" s="336"/>
      <c r="F495" s="337"/>
      <c r="G495" s="338"/>
      <c r="H495" s="364"/>
      <c r="I495" s="340"/>
      <c r="J495" s="341"/>
      <c r="K495" s="342"/>
      <c r="L495" s="334"/>
      <c r="N495" s="312"/>
    </row>
    <row r="496" spans="2:14" x14ac:dyDescent="0.2">
      <c r="B496" s="476"/>
      <c r="C496" s="343"/>
      <c r="D496" s="343"/>
      <c r="E496" s="336"/>
      <c r="F496" s="337"/>
      <c r="G496" s="338"/>
      <c r="H496" s="364"/>
      <c r="I496" s="340"/>
      <c r="J496" s="341"/>
      <c r="K496" s="342"/>
      <c r="L496" s="334"/>
      <c r="N496" s="312"/>
    </row>
    <row r="497" spans="2:14" x14ac:dyDescent="0.2">
      <c r="B497" s="476"/>
      <c r="C497" s="343"/>
      <c r="D497" s="343"/>
      <c r="E497" s="336"/>
      <c r="F497" s="337"/>
      <c r="G497" s="338"/>
      <c r="H497" s="364"/>
      <c r="I497" s="340"/>
      <c r="J497" s="341"/>
      <c r="K497" s="342"/>
      <c r="L497" s="334"/>
      <c r="N497" s="312"/>
    </row>
    <row r="498" spans="2:14" ht="15.75" x14ac:dyDescent="0.25">
      <c r="B498" s="474"/>
      <c r="C498" s="119" t="s">
        <v>57</v>
      </c>
      <c r="D498" s="119" t="s">
        <v>58</v>
      </c>
      <c r="E498" s="121">
        <f>'PROYECCION 2021'!C38</f>
        <v>5000000</v>
      </c>
      <c r="F498" s="122">
        <f>SUM(F499:F506)</f>
        <v>0</v>
      </c>
      <c r="G498" s="122">
        <f>SUM(G499:G506)</f>
        <v>0</v>
      </c>
      <c r="H498" s="122">
        <f>SUM(H499:H506)</f>
        <v>0</v>
      </c>
      <c r="I498" s="123">
        <f>E498+F498+G498-H498</f>
        <v>5000000</v>
      </c>
      <c r="J498" s="224">
        <f>SUM(J499:J506)</f>
        <v>2364339</v>
      </c>
      <c r="K498" s="143">
        <f>I498-J498</f>
        <v>2635661</v>
      </c>
      <c r="L498" s="334"/>
      <c r="N498" s="312"/>
    </row>
    <row r="499" spans="2:14" x14ac:dyDescent="0.2">
      <c r="B499" s="476">
        <v>46408</v>
      </c>
      <c r="C499" s="343"/>
      <c r="D499" s="343" t="s">
        <v>192</v>
      </c>
      <c r="E499" s="336"/>
      <c r="F499" s="337"/>
      <c r="G499" s="370"/>
      <c r="H499" s="364"/>
      <c r="I499" s="340"/>
      <c r="J499" s="345">
        <v>118378</v>
      </c>
      <c r="K499" s="363"/>
      <c r="L499" s="334"/>
      <c r="N499" s="312"/>
    </row>
    <row r="500" spans="2:14" x14ac:dyDescent="0.2">
      <c r="B500" s="476">
        <v>44245</v>
      </c>
      <c r="C500" s="343"/>
      <c r="D500" s="343" t="s">
        <v>250</v>
      </c>
      <c r="E500" s="336"/>
      <c r="F500" s="337"/>
      <c r="G500" s="370"/>
      <c r="H500" s="364"/>
      <c r="I500" s="340"/>
      <c r="J500" s="345">
        <v>2245961</v>
      </c>
      <c r="K500" s="363"/>
      <c r="L500" s="341"/>
      <c r="N500" s="312"/>
    </row>
    <row r="501" spans="2:14" x14ac:dyDescent="0.2">
      <c r="B501" s="478"/>
      <c r="C501" s="357"/>
      <c r="D501" s="357"/>
      <c r="E501" s="336"/>
      <c r="F501" s="337"/>
      <c r="G501" s="370"/>
      <c r="H501" s="364"/>
      <c r="I501" s="340"/>
      <c r="J501" s="341"/>
      <c r="K501" s="363"/>
      <c r="L501" s="334"/>
      <c r="N501" s="312"/>
    </row>
    <row r="502" spans="2:14" x14ac:dyDescent="0.2">
      <c r="B502" s="478"/>
      <c r="C502" s="357"/>
      <c r="D502" s="357"/>
      <c r="E502" s="336"/>
      <c r="F502" s="337"/>
      <c r="G502" s="370"/>
      <c r="H502" s="364"/>
      <c r="I502" s="340"/>
      <c r="J502" s="341"/>
      <c r="K502" s="342"/>
      <c r="L502" s="334"/>
      <c r="N502" s="312"/>
    </row>
    <row r="503" spans="2:14" x14ac:dyDescent="0.2">
      <c r="B503" s="478"/>
      <c r="C503" s="357"/>
      <c r="D503" s="357"/>
      <c r="E503" s="336"/>
      <c r="F503" s="337"/>
      <c r="G503" s="370"/>
      <c r="H503" s="364"/>
      <c r="I503" s="340"/>
      <c r="J503" s="341"/>
      <c r="K503" s="342"/>
      <c r="L503" s="334"/>
      <c r="N503" s="312"/>
    </row>
    <row r="504" spans="2:14" x14ac:dyDescent="0.2">
      <c r="B504" s="476"/>
      <c r="C504" s="343"/>
      <c r="D504" s="343"/>
      <c r="E504" s="336"/>
      <c r="F504" s="337"/>
      <c r="G504" s="370"/>
      <c r="H504" s="364"/>
      <c r="I504" s="340"/>
      <c r="J504" s="341"/>
      <c r="K504" s="342"/>
      <c r="L504" s="334"/>
      <c r="N504" s="312"/>
    </row>
    <row r="505" spans="2:14" x14ac:dyDescent="0.2">
      <c r="B505" s="477"/>
      <c r="C505" s="335"/>
      <c r="D505" s="352"/>
      <c r="E505" s="336"/>
      <c r="F505" s="337"/>
      <c r="G505" s="370"/>
      <c r="H505" s="364"/>
      <c r="I505" s="340"/>
      <c r="J505" s="341"/>
      <c r="K505" s="342"/>
      <c r="L505" s="334"/>
      <c r="N505" s="312"/>
    </row>
    <row r="506" spans="2:14" x14ac:dyDescent="0.2">
      <c r="B506" s="476"/>
      <c r="C506" s="343"/>
      <c r="D506" s="343"/>
      <c r="E506" s="336"/>
      <c r="F506" s="337"/>
      <c r="G506" s="370"/>
      <c r="H506" s="364"/>
      <c r="I506" s="340"/>
      <c r="J506" s="341"/>
      <c r="K506" s="342"/>
      <c r="L506" s="334"/>
      <c r="N506" s="312"/>
    </row>
    <row r="507" spans="2:14" ht="15.75" x14ac:dyDescent="0.25">
      <c r="B507" s="474"/>
      <c r="C507" s="119" t="s">
        <v>59</v>
      </c>
      <c r="D507" s="119" t="s">
        <v>60</v>
      </c>
      <c r="E507" s="121">
        <f>'PROYECCION 2021'!C39</f>
        <v>24000000</v>
      </c>
      <c r="F507" s="122">
        <f>SUM(F508:F516)</f>
        <v>0</v>
      </c>
      <c r="G507" s="122">
        <f>SUM(G508:G516)</f>
        <v>0</v>
      </c>
      <c r="H507" s="122">
        <f>SUM(H508:H516)</f>
        <v>0</v>
      </c>
      <c r="I507" s="123">
        <f>E507+F507+G507-H507</f>
        <v>24000000</v>
      </c>
      <c r="J507" s="224">
        <f>SUM(J508:J516)</f>
        <v>0</v>
      </c>
      <c r="K507" s="141">
        <f>I507-J507</f>
        <v>24000000</v>
      </c>
      <c r="L507" s="334"/>
      <c r="N507" s="312"/>
    </row>
    <row r="508" spans="2:14" x14ac:dyDescent="0.2">
      <c r="B508" s="476"/>
      <c r="C508" s="343"/>
      <c r="D508" s="334"/>
      <c r="E508" s="336"/>
      <c r="F508" s="337"/>
      <c r="G508" s="338"/>
      <c r="H508" s="364"/>
      <c r="I508" s="340"/>
      <c r="J508" s="345"/>
      <c r="K508" s="342"/>
      <c r="L508" s="334"/>
      <c r="N508" s="312"/>
    </row>
    <row r="509" spans="2:14" x14ac:dyDescent="0.2">
      <c r="B509" s="476"/>
      <c r="C509" s="343"/>
      <c r="D509" s="343"/>
      <c r="E509" s="336"/>
      <c r="F509" s="337"/>
      <c r="G509" s="338"/>
      <c r="H509" s="364"/>
      <c r="I509" s="340"/>
      <c r="J509" s="341"/>
      <c r="K509" s="342"/>
      <c r="L509" s="334"/>
      <c r="N509" s="312"/>
    </row>
    <row r="510" spans="2:14" x14ac:dyDescent="0.2">
      <c r="B510" s="476"/>
      <c r="C510" s="343"/>
      <c r="D510" s="396"/>
      <c r="E510" s="336"/>
      <c r="F510" s="337"/>
      <c r="G510" s="338"/>
      <c r="H510" s="364"/>
      <c r="I510" s="340"/>
      <c r="J510" s="341"/>
      <c r="K510" s="342"/>
      <c r="L510" s="334"/>
      <c r="N510" s="312"/>
    </row>
    <row r="511" spans="2:14" x14ac:dyDescent="0.2">
      <c r="B511" s="476"/>
      <c r="C511" s="343"/>
      <c r="D511" s="396"/>
      <c r="E511" s="336"/>
      <c r="F511" s="337"/>
      <c r="G511" s="338"/>
      <c r="H511" s="364"/>
      <c r="I511" s="340"/>
      <c r="J511" s="341"/>
      <c r="K511" s="342"/>
      <c r="L511" s="334"/>
      <c r="N511" s="312"/>
    </row>
    <row r="512" spans="2:14" x14ac:dyDescent="0.2">
      <c r="B512" s="476"/>
      <c r="C512" s="343"/>
      <c r="D512" s="396"/>
      <c r="E512" s="336"/>
      <c r="F512" s="337"/>
      <c r="G512" s="338"/>
      <c r="H512" s="364"/>
      <c r="I512" s="340"/>
      <c r="J512" s="341"/>
      <c r="K512" s="342"/>
      <c r="L512" s="334"/>
      <c r="N512" s="312"/>
    </row>
    <row r="513" spans="2:15" x14ac:dyDescent="0.2">
      <c r="B513" s="476"/>
      <c r="C513" s="343"/>
      <c r="D513" s="396"/>
      <c r="E513" s="336"/>
      <c r="F513" s="337"/>
      <c r="G513" s="338"/>
      <c r="H513" s="364"/>
      <c r="I513" s="340"/>
      <c r="J513" s="341"/>
      <c r="K513" s="342"/>
      <c r="L513" s="334"/>
      <c r="N513" s="312"/>
    </row>
    <row r="514" spans="2:15" x14ac:dyDescent="0.2">
      <c r="B514" s="476"/>
      <c r="C514" s="343"/>
      <c r="D514" s="396"/>
      <c r="E514" s="336"/>
      <c r="F514" s="337"/>
      <c r="G514" s="338"/>
      <c r="H514" s="364"/>
      <c r="I514" s="340"/>
      <c r="J514" s="341"/>
      <c r="K514" s="342"/>
      <c r="L514" s="334"/>
      <c r="N514" s="312"/>
    </row>
    <row r="515" spans="2:15" x14ac:dyDescent="0.2">
      <c r="B515" s="476"/>
      <c r="C515" s="343"/>
      <c r="D515" s="396"/>
      <c r="E515" s="336"/>
      <c r="F515" s="337"/>
      <c r="G515" s="338"/>
      <c r="H515" s="364"/>
      <c r="I515" s="340"/>
      <c r="J515" s="341"/>
      <c r="K515" s="342"/>
      <c r="L515" s="334"/>
      <c r="N515" s="312"/>
    </row>
    <row r="516" spans="2:15" x14ac:dyDescent="0.2">
      <c r="B516" s="476"/>
      <c r="C516" s="343"/>
      <c r="D516" s="396"/>
      <c r="E516" s="336"/>
      <c r="F516" s="337"/>
      <c r="G516" s="338"/>
      <c r="H516" s="364"/>
      <c r="I516" s="340"/>
      <c r="J516" s="341"/>
      <c r="K516" s="342"/>
      <c r="L516" s="334"/>
      <c r="N516" s="312"/>
    </row>
    <row r="517" spans="2:15" ht="15.75" x14ac:dyDescent="0.25">
      <c r="B517" s="474"/>
      <c r="C517" s="119">
        <v>2020120211</v>
      </c>
      <c r="D517" s="119" t="s">
        <v>62</v>
      </c>
      <c r="E517" s="121">
        <f>'PROYECCION 2021'!C40</f>
        <v>4000000</v>
      </c>
      <c r="F517" s="122">
        <f>SUM(F518:F523)</f>
        <v>0</v>
      </c>
      <c r="G517" s="122">
        <f>SUM(G518:G523)</f>
        <v>10000000</v>
      </c>
      <c r="H517" s="122">
        <f>SUM(H518:H523)</f>
        <v>0</v>
      </c>
      <c r="I517" s="123">
        <f>E517+F517+G517-H517</f>
        <v>14000000</v>
      </c>
      <c r="J517" s="224">
        <f>SUM(J518:J523)</f>
        <v>7140000</v>
      </c>
      <c r="K517" s="141">
        <f>I517-J517</f>
        <v>6860000</v>
      </c>
      <c r="L517" s="334"/>
      <c r="N517" s="312"/>
    </row>
    <row r="518" spans="2:15" x14ac:dyDescent="0.2">
      <c r="B518" s="476">
        <v>44236</v>
      </c>
      <c r="C518" s="343"/>
      <c r="D518" s="334" t="s">
        <v>257</v>
      </c>
      <c r="E518" s="336"/>
      <c r="F518" s="337"/>
      <c r="G518" s="338"/>
      <c r="H518" s="364"/>
      <c r="I518" s="340"/>
      <c r="J518" s="345">
        <v>1785000</v>
      </c>
      <c r="K518" s="342"/>
      <c r="L518" s="334"/>
      <c r="N518" s="312"/>
    </row>
    <row r="519" spans="2:15" x14ac:dyDescent="0.2">
      <c r="B519" s="475">
        <v>44299</v>
      </c>
      <c r="C519" s="335"/>
      <c r="D519" s="146" t="s">
        <v>272</v>
      </c>
      <c r="E519" s="336"/>
      <c r="F519" s="337"/>
      <c r="G519" s="338">
        <v>10000000</v>
      </c>
      <c r="H519" s="364"/>
      <c r="I519" s="340"/>
      <c r="J519" s="345"/>
      <c r="K519" s="342"/>
      <c r="L519" s="334"/>
      <c r="N519" s="312"/>
    </row>
    <row r="520" spans="2:15" x14ac:dyDescent="0.2">
      <c r="B520" s="478">
        <v>44365</v>
      </c>
      <c r="C520" s="357"/>
      <c r="D520" s="357" t="s">
        <v>309</v>
      </c>
      <c r="E520" s="336"/>
      <c r="F520" s="337"/>
      <c r="G520" s="338"/>
      <c r="H520" s="364"/>
      <c r="I520" s="340"/>
      <c r="J520" s="362">
        <v>5355000</v>
      </c>
      <c r="K520" s="342"/>
      <c r="L520" s="334"/>
      <c r="M520" s="312"/>
      <c r="N520" s="312"/>
      <c r="O520" s="312"/>
    </row>
    <row r="521" spans="2:15" x14ac:dyDescent="0.2">
      <c r="B521" s="478"/>
      <c r="C521" s="357"/>
      <c r="D521" s="357"/>
      <c r="E521" s="353"/>
      <c r="F521" s="337"/>
      <c r="G521" s="338"/>
      <c r="H521" s="364"/>
      <c r="I521" s="348"/>
      <c r="J521" s="345"/>
      <c r="K521" s="342"/>
      <c r="L521" s="334"/>
      <c r="M521" s="312"/>
      <c r="N521" s="312"/>
      <c r="O521" s="312"/>
    </row>
    <row r="522" spans="2:15" x14ac:dyDescent="0.2">
      <c r="B522" s="477"/>
      <c r="C522" s="335"/>
      <c r="D522" s="335"/>
      <c r="E522" s="353"/>
      <c r="F522" s="337"/>
      <c r="G522" s="338"/>
      <c r="H522" s="364"/>
      <c r="I522" s="348"/>
      <c r="J522" s="345"/>
      <c r="K522" s="342"/>
      <c r="L522" s="334"/>
      <c r="M522" s="312"/>
      <c r="N522" s="312"/>
      <c r="O522" s="312"/>
    </row>
    <row r="523" spans="2:15" x14ac:dyDescent="0.2">
      <c r="B523" s="476"/>
      <c r="C523" s="343"/>
      <c r="D523" s="343"/>
      <c r="E523" s="336"/>
      <c r="F523" s="337"/>
      <c r="G523" s="338"/>
      <c r="H523" s="364"/>
      <c r="I523" s="340"/>
      <c r="J523" s="341"/>
      <c r="K523" s="342"/>
      <c r="L523" s="334"/>
      <c r="N523" s="312"/>
    </row>
    <row r="524" spans="2:15" ht="15.75" x14ac:dyDescent="0.25">
      <c r="B524" s="474"/>
      <c r="C524" s="119" t="s">
        <v>63</v>
      </c>
      <c r="D524" s="119" t="s">
        <v>64</v>
      </c>
      <c r="E524" s="121">
        <f>'PROYECCION 2021'!C41</f>
        <v>22000000</v>
      </c>
      <c r="F524" s="122">
        <f>SUM(F525:F529)</f>
        <v>0</v>
      </c>
      <c r="G524" s="122">
        <f>SUM(G525:G529)</f>
        <v>0</v>
      </c>
      <c r="H524" s="122">
        <f>SUM(H525:H529)</f>
        <v>0</v>
      </c>
      <c r="I524" s="123">
        <f>E524+F524+G524-H524</f>
        <v>22000000</v>
      </c>
      <c r="J524" s="224">
        <f>SUM(J525:J529)</f>
        <v>0</v>
      </c>
      <c r="K524" s="141">
        <f>I524-J524</f>
        <v>22000000</v>
      </c>
      <c r="L524" s="334"/>
      <c r="N524" s="312"/>
    </row>
    <row r="525" spans="2:15" x14ac:dyDescent="0.2">
      <c r="B525" s="476"/>
      <c r="C525" s="343"/>
      <c r="D525" s="343"/>
      <c r="E525" s="336"/>
      <c r="F525" s="337"/>
      <c r="G525" s="338"/>
      <c r="H525" s="364"/>
      <c r="I525" s="340"/>
      <c r="J525" s="341"/>
      <c r="K525" s="342"/>
      <c r="L525" s="334"/>
      <c r="N525" s="312"/>
    </row>
    <row r="526" spans="2:15" x14ac:dyDescent="0.2">
      <c r="B526" s="477"/>
      <c r="C526" s="335"/>
      <c r="D526" s="335"/>
      <c r="E526" s="336"/>
      <c r="F526" s="337"/>
      <c r="G526" s="338"/>
      <c r="H526" s="364"/>
      <c r="I526" s="340"/>
      <c r="J526" s="341"/>
      <c r="K526" s="342"/>
      <c r="L526" s="334"/>
      <c r="N526" s="312"/>
    </row>
    <row r="527" spans="2:15" ht="15.75" x14ac:dyDescent="0.25">
      <c r="B527" s="481"/>
      <c r="C527" s="380"/>
      <c r="D527" s="381"/>
      <c r="E527" s="336"/>
      <c r="F527" s="337"/>
      <c r="G527" s="338"/>
      <c r="H527" s="364"/>
      <c r="I527" s="340"/>
      <c r="J527" s="341"/>
      <c r="K527" s="342"/>
      <c r="L527" s="334"/>
      <c r="N527" s="312"/>
    </row>
    <row r="528" spans="2:15" x14ac:dyDescent="0.2">
      <c r="C528" s="335"/>
      <c r="D528" s="335"/>
      <c r="E528" s="336"/>
      <c r="F528" s="337"/>
      <c r="G528" s="338"/>
      <c r="H528" s="364"/>
      <c r="I528" s="340"/>
      <c r="J528" s="341"/>
      <c r="K528" s="342"/>
      <c r="L528" s="334"/>
      <c r="N528" s="312"/>
    </row>
    <row r="529" spans="2:14" x14ac:dyDescent="0.2">
      <c r="B529" s="476"/>
      <c r="C529" s="343"/>
      <c r="D529" s="343"/>
      <c r="E529" s="336"/>
      <c r="F529" s="337"/>
      <c r="G529" s="338"/>
      <c r="H529" s="364"/>
      <c r="I529" s="340"/>
      <c r="J529" s="341"/>
      <c r="K529" s="342"/>
      <c r="L529" s="334"/>
      <c r="N529" s="312"/>
    </row>
    <row r="530" spans="2:14" ht="15.75" x14ac:dyDescent="0.25">
      <c r="B530" s="474"/>
      <c r="C530" s="119">
        <v>2020120213</v>
      </c>
      <c r="D530" s="119" t="s">
        <v>65</v>
      </c>
      <c r="E530" s="121">
        <v>0</v>
      </c>
      <c r="F530" s="122">
        <f>SUM(F531:F534)</f>
        <v>0</v>
      </c>
      <c r="G530" s="122">
        <f>SUM(G531:G534)</f>
        <v>0</v>
      </c>
      <c r="H530" s="122">
        <f>SUM(H531:H534)</f>
        <v>0</v>
      </c>
      <c r="I530" s="123">
        <f>E530+F530+G530-H530</f>
        <v>0</v>
      </c>
      <c r="J530" s="224">
        <f>SUM(J531:J534)</f>
        <v>0</v>
      </c>
      <c r="K530" s="141">
        <f>I530-J530</f>
        <v>0</v>
      </c>
      <c r="L530" s="334"/>
      <c r="N530" s="312"/>
    </row>
    <row r="531" spans="2:14" x14ac:dyDescent="0.2">
      <c r="B531" s="476"/>
      <c r="C531" s="343"/>
      <c r="D531" s="334"/>
      <c r="E531" s="336"/>
      <c r="F531" s="337"/>
      <c r="G531" s="338"/>
      <c r="H531" s="364"/>
      <c r="I531" s="340"/>
      <c r="J531" s="341"/>
      <c r="K531" s="342"/>
      <c r="L531" s="334"/>
      <c r="N531" s="312"/>
    </row>
    <row r="532" spans="2:14" ht="15.75" x14ac:dyDescent="0.25">
      <c r="B532" s="481"/>
      <c r="C532" s="380"/>
      <c r="D532" s="381"/>
      <c r="E532" s="336"/>
      <c r="F532" s="337"/>
      <c r="G532" s="338"/>
      <c r="H532" s="364"/>
      <c r="I532" s="340"/>
      <c r="J532" s="341"/>
      <c r="K532" s="342"/>
      <c r="L532" s="334"/>
      <c r="N532" s="312"/>
    </row>
    <row r="533" spans="2:14" x14ac:dyDescent="0.2">
      <c r="B533" s="476"/>
      <c r="C533" s="343"/>
      <c r="D533" s="343"/>
      <c r="E533" s="336"/>
      <c r="F533" s="337"/>
      <c r="G533" s="338"/>
      <c r="H533" s="364"/>
      <c r="I533" s="340"/>
      <c r="J533" s="341"/>
      <c r="K533" s="342"/>
      <c r="L533" s="334"/>
      <c r="N533" s="312"/>
    </row>
    <row r="534" spans="2:14" x14ac:dyDescent="0.2">
      <c r="B534" s="476"/>
      <c r="C534" s="343"/>
      <c r="D534" s="343"/>
      <c r="E534" s="336"/>
      <c r="F534" s="337"/>
      <c r="G534" s="338"/>
      <c r="H534" s="364"/>
      <c r="I534" s="340"/>
      <c r="J534" s="341"/>
      <c r="K534" s="342"/>
      <c r="L534" s="334"/>
      <c r="N534" s="312"/>
    </row>
    <row r="535" spans="2:14" ht="15.75" x14ac:dyDescent="0.25">
      <c r="B535" s="474"/>
      <c r="C535" s="119" t="s">
        <v>66</v>
      </c>
      <c r="D535" s="119" t="s">
        <v>67</v>
      </c>
      <c r="E535" s="121">
        <v>0</v>
      </c>
      <c r="F535" s="122">
        <f>SUM(F536:F538)</f>
        <v>0</v>
      </c>
      <c r="G535" s="122">
        <f>SUM(G536:G538)</f>
        <v>0</v>
      </c>
      <c r="H535" s="122">
        <f>SUM(H536:H538)</f>
        <v>0</v>
      </c>
      <c r="I535" s="123">
        <f>E535+F535+G535-H535</f>
        <v>0</v>
      </c>
      <c r="J535" s="224">
        <f>SUM(J536:J538)</f>
        <v>0</v>
      </c>
      <c r="K535" s="141">
        <f>I535-J535</f>
        <v>0</v>
      </c>
      <c r="L535" s="334"/>
      <c r="N535" s="312"/>
    </row>
    <row r="536" spans="2:14" x14ac:dyDescent="0.2">
      <c r="B536" s="476"/>
      <c r="C536" s="343"/>
      <c r="D536" s="343"/>
      <c r="E536" s="336"/>
      <c r="F536" s="337"/>
      <c r="G536" s="338"/>
      <c r="H536" s="364"/>
      <c r="I536" s="340"/>
      <c r="J536" s="341"/>
      <c r="K536" s="342"/>
      <c r="L536" s="334"/>
      <c r="N536" s="312"/>
    </row>
    <row r="537" spans="2:14" x14ac:dyDescent="0.2">
      <c r="B537" s="477"/>
      <c r="C537" s="335"/>
      <c r="D537" s="352"/>
      <c r="E537" s="336"/>
      <c r="F537" s="337"/>
      <c r="G537" s="338"/>
      <c r="H537" s="364"/>
      <c r="I537" s="340"/>
      <c r="J537" s="341"/>
      <c r="K537" s="342"/>
      <c r="L537" s="334"/>
      <c r="N537" s="312"/>
    </row>
    <row r="538" spans="2:14" x14ac:dyDescent="0.2">
      <c r="B538" s="476"/>
      <c r="C538" s="343"/>
      <c r="D538" s="343"/>
      <c r="E538" s="336"/>
      <c r="F538" s="337"/>
      <c r="G538" s="338"/>
      <c r="H538" s="364"/>
      <c r="I538" s="340"/>
      <c r="J538" s="341"/>
      <c r="K538" s="342"/>
      <c r="L538" s="334"/>
      <c r="N538" s="312"/>
    </row>
    <row r="539" spans="2:14" ht="15.75" x14ac:dyDescent="0.25">
      <c r="B539" s="474"/>
      <c r="C539" s="119">
        <v>2020120215</v>
      </c>
      <c r="D539" s="119" t="s">
        <v>97</v>
      </c>
      <c r="E539" s="121">
        <f>'PROYECCION 2021'!C44</f>
        <v>1300000</v>
      </c>
      <c r="F539" s="122">
        <f>SUM(F540:F544)</f>
        <v>0</v>
      </c>
      <c r="G539" s="122">
        <f>SUM(G540:G541)</f>
        <v>0</v>
      </c>
      <c r="H539" s="122">
        <f>SUM(H540:H542)</f>
        <v>0</v>
      </c>
      <c r="I539" s="123">
        <f>E539+F539+G539-H539</f>
        <v>1300000</v>
      </c>
      <c r="J539" s="224">
        <f>SUM(J540:J541)</f>
        <v>0</v>
      </c>
      <c r="K539" s="141">
        <f>I539-J539</f>
        <v>1300000</v>
      </c>
      <c r="L539" s="334"/>
      <c r="N539" s="312"/>
    </row>
    <row r="540" spans="2:14" x14ac:dyDescent="0.2">
      <c r="B540" s="475"/>
      <c r="C540" s="403"/>
      <c r="D540" s="146"/>
      <c r="E540" s="336"/>
      <c r="F540" s="337"/>
      <c r="G540" s="370"/>
      <c r="H540" s="364"/>
      <c r="I540" s="340"/>
      <c r="J540" s="341"/>
      <c r="K540" s="342"/>
      <c r="L540" s="334"/>
      <c r="N540" s="312"/>
    </row>
    <row r="541" spans="2:14" x14ac:dyDescent="0.2">
      <c r="C541" s="335"/>
      <c r="D541" s="335"/>
      <c r="E541" s="336"/>
      <c r="F541" s="337"/>
      <c r="G541" s="370"/>
      <c r="H541" s="364"/>
      <c r="I541" s="340"/>
      <c r="J541" s="341"/>
      <c r="K541" s="342"/>
      <c r="L541" s="334"/>
      <c r="N541" s="312"/>
    </row>
    <row r="542" spans="2:14" x14ac:dyDescent="0.2">
      <c r="B542" s="477"/>
      <c r="C542" s="335"/>
      <c r="D542" s="335"/>
      <c r="E542" s="336"/>
      <c r="F542" s="337"/>
      <c r="G542" s="370"/>
      <c r="H542" s="364"/>
      <c r="I542" s="340"/>
      <c r="J542" s="341"/>
      <c r="K542" s="342"/>
      <c r="L542" s="334"/>
      <c r="N542" s="312"/>
    </row>
    <row r="543" spans="2:14" ht="15.75" x14ac:dyDescent="0.25">
      <c r="B543" s="487"/>
      <c r="C543" s="119">
        <v>2020120216</v>
      </c>
      <c r="D543" s="137" t="s">
        <v>148</v>
      </c>
      <c r="E543" s="124">
        <f>'PROYECCION 2021'!C45</f>
        <v>0</v>
      </c>
      <c r="F543" s="124">
        <f>SUM(F544:F559)</f>
        <v>0</v>
      </c>
      <c r="G543" s="124">
        <f>SUM(G544:G559)</f>
        <v>0</v>
      </c>
      <c r="H543" s="124">
        <f>SUM(H544:H559)</f>
        <v>0</v>
      </c>
      <c r="I543" s="123">
        <f>E543+F543+G543-H543</f>
        <v>0</v>
      </c>
      <c r="J543" s="223">
        <f>SUM(J544:J559)</f>
        <v>0</v>
      </c>
      <c r="K543" s="124">
        <f>I543-J543</f>
        <v>0</v>
      </c>
      <c r="L543" s="334"/>
      <c r="N543" s="312"/>
    </row>
    <row r="544" spans="2:14" x14ac:dyDescent="0.2">
      <c r="B544" s="477"/>
      <c r="C544" s="335"/>
      <c r="D544" s="352"/>
      <c r="E544" s="336"/>
      <c r="F544" s="337"/>
      <c r="G544" s="370"/>
      <c r="H544" s="364"/>
      <c r="I544" s="340"/>
      <c r="J544" s="341"/>
      <c r="K544" s="342"/>
      <c r="L544" s="334"/>
      <c r="N544" s="312"/>
    </row>
    <row r="545" spans="2:14" x14ac:dyDescent="0.2">
      <c r="B545" s="475"/>
      <c r="C545" s="335"/>
      <c r="D545" s="146"/>
      <c r="E545" s="336"/>
      <c r="F545" s="337"/>
      <c r="G545" s="370"/>
      <c r="H545" s="364"/>
      <c r="I545" s="354"/>
      <c r="K545" s="342"/>
      <c r="L545" s="334"/>
      <c r="N545" s="312"/>
    </row>
    <row r="546" spans="2:14" x14ac:dyDescent="0.2">
      <c r="B546" s="475"/>
      <c r="C546" s="335"/>
      <c r="D546" s="146"/>
      <c r="E546" s="336"/>
      <c r="F546" s="337"/>
      <c r="G546" s="370"/>
      <c r="H546" s="364"/>
      <c r="I546" s="340"/>
      <c r="J546" s="341"/>
      <c r="K546" s="342"/>
      <c r="L546" s="334"/>
      <c r="N546" s="312"/>
    </row>
    <row r="547" spans="2:14" x14ac:dyDescent="0.2">
      <c r="B547" s="475"/>
      <c r="C547" s="335"/>
      <c r="D547" s="146"/>
      <c r="E547" s="336"/>
      <c r="F547" s="337"/>
      <c r="G547" s="370"/>
      <c r="H547" s="364"/>
      <c r="I547" s="340"/>
      <c r="J547" s="341"/>
      <c r="K547" s="342"/>
      <c r="L547" s="334"/>
      <c r="N547" s="312"/>
    </row>
    <row r="548" spans="2:14" x14ac:dyDescent="0.2">
      <c r="B548" s="475"/>
      <c r="C548" s="403"/>
      <c r="D548" s="146"/>
      <c r="E548" s="336"/>
      <c r="F548" s="337"/>
      <c r="G548" s="370"/>
      <c r="H548" s="364"/>
      <c r="I548" s="340"/>
      <c r="J548" s="341"/>
      <c r="K548" s="342"/>
      <c r="L548" s="334"/>
      <c r="N548" s="312"/>
    </row>
    <row r="549" spans="2:14" x14ac:dyDescent="0.2">
      <c r="B549" s="476"/>
      <c r="C549" s="343"/>
      <c r="D549" s="343"/>
      <c r="E549" s="336"/>
      <c r="F549" s="337"/>
      <c r="G549" s="370"/>
      <c r="H549" s="364"/>
      <c r="I549" s="340"/>
      <c r="J549" s="341"/>
      <c r="K549" s="342"/>
      <c r="L549" s="334"/>
      <c r="N549" s="312"/>
    </row>
    <row r="550" spans="2:14" x14ac:dyDescent="0.2">
      <c r="B550" s="475"/>
      <c r="C550" s="335"/>
      <c r="D550" s="146"/>
      <c r="E550" s="336"/>
      <c r="F550" s="337"/>
      <c r="G550" s="370"/>
      <c r="H550" s="364"/>
      <c r="I550" s="340"/>
      <c r="J550" s="341"/>
      <c r="K550" s="342"/>
      <c r="L550" s="334"/>
      <c r="N550" s="312"/>
    </row>
    <row r="551" spans="2:14" x14ac:dyDescent="0.2">
      <c r="B551" s="475"/>
      <c r="C551" s="335"/>
      <c r="D551" s="146"/>
      <c r="E551" s="336"/>
      <c r="F551" s="337"/>
      <c r="G551" s="370"/>
      <c r="H551" s="364"/>
      <c r="I551" s="340"/>
      <c r="J551" s="341"/>
      <c r="K551" s="342"/>
      <c r="L551" s="334"/>
      <c r="N551" s="312"/>
    </row>
    <row r="552" spans="2:14" x14ac:dyDescent="0.2">
      <c r="B552" s="475"/>
      <c r="C552" s="335"/>
      <c r="D552" s="335"/>
      <c r="E552" s="336"/>
      <c r="F552" s="337"/>
      <c r="G552" s="370"/>
      <c r="H552" s="364"/>
      <c r="I552" s="340"/>
      <c r="J552" s="341"/>
      <c r="K552" s="342"/>
      <c r="L552" s="334"/>
      <c r="N552" s="312"/>
    </row>
    <row r="553" spans="2:14" x14ac:dyDescent="0.2">
      <c r="B553" s="475"/>
      <c r="C553" s="335"/>
      <c r="D553" s="146"/>
      <c r="E553" s="336"/>
      <c r="F553" s="337"/>
      <c r="G553" s="370"/>
      <c r="H553" s="364"/>
      <c r="I553" s="340"/>
      <c r="J553" s="341"/>
      <c r="K553" s="342"/>
      <c r="L553" s="334"/>
      <c r="N553" s="312"/>
    </row>
    <row r="554" spans="2:14" x14ac:dyDescent="0.2">
      <c r="B554" s="475"/>
      <c r="C554" s="335"/>
      <c r="D554" s="146"/>
      <c r="E554" s="336"/>
      <c r="F554" s="337"/>
      <c r="G554" s="370"/>
      <c r="H554" s="364"/>
      <c r="I554" s="340"/>
      <c r="J554" s="341"/>
      <c r="K554" s="342"/>
      <c r="L554" s="334"/>
      <c r="N554" s="312"/>
    </row>
    <row r="555" spans="2:14" x14ac:dyDescent="0.2">
      <c r="B555" s="475"/>
      <c r="C555" s="335"/>
      <c r="D555" s="146"/>
      <c r="E555" s="336"/>
      <c r="F555" s="337"/>
      <c r="G555" s="370"/>
      <c r="H555" s="364"/>
      <c r="I555" s="340"/>
      <c r="J555" s="341"/>
      <c r="K555" s="342"/>
      <c r="L555" s="334"/>
      <c r="N555" s="312"/>
    </row>
    <row r="556" spans="2:14" x14ac:dyDescent="0.2">
      <c r="B556" s="479"/>
      <c r="C556" s="343"/>
      <c r="D556" s="334"/>
      <c r="E556" s="336"/>
      <c r="F556" s="337"/>
      <c r="G556" s="370"/>
      <c r="H556" s="364"/>
      <c r="I556" s="340"/>
      <c r="J556" s="341"/>
      <c r="K556" s="342"/>
      <c r="L556" s="334"/>
      <c r="N556" s="312"/>
    </row>
    <row r="557" spans="2:14" x14ac:dyDescent="0.2">
      <c r="B557" s="476"/>
      <c r="C557" s="343"/>
      <c r="D557" s="343"/>
      <c r="E557" s="336"/>
      <c r="F557" s="337"/>
      <c r="G557" s="370"/>
      <c r="H557" s="364"/>
      <c r="I557" s="340"/>
      <c r="J557" s="341"/>
      <c r="K557" s="342"/>
      <c r="L557" s="334"/>
      <c r="N557" s="312"/>
    </row>
    <row r="558" spans="2:14" x14ac:dyDescent="0.2">
      <c r="B558" s="476"/>
      <c r="C558" s="343"/>
      <c r="D558" s="343"/>
      <c r="E558" s="336"/>
      <c r="F558" s="337"/>
      <c r="G558" s="370"/>
      <c r="H558" s="364"/>
      <c r="I558" s="340"/>
      <c r="J558" s="341"/>
      <c r="K558" s="342"/>
      <c r="L558" s="334"/>
      <c r="N558" s="312"/>
    </row>
    <row r="559" spans="2:14" x14ac:dyDescent="0.2">
      <c r="B559" s="476"/>
      <c r="C559" s="343"/>
      <c r="D559" s="343"/>
      <c r="E559" s="336"/>
      <c r="F559" s="337"/>
      <c r="G559" s="370"/>
      <c r="H559" s="364"/>
      <c r="I559" s="340"/>
      <c r="J559" s="341"/>
      <c r="K559" s="342"/>
      <c r="L559" s="334"/>
      <c r="N559" s="312"/>
    </row>
    <row r="560" spans="2:14" s="136" customFormat="1" ht="15.75" x14ac:dyDescent="0.25">
      <c r="B560" s="488"/>
      <c r="C560" s="404" t="s">
        <v>68</v>
      </c>
      <c r="D560" s="405" t="s">
        <v>134</v>
      </c>
      <c r="E560" s="406">
        <f t="shared" ref="E560:J560" si="4">ROUND((E561+E571+E587+E604),0)</f>
        <v>73229741</v>
      </c>
      <c r="F560" s="406">
        <f t="shared" si="4"/>
        <v>0</v>
      </c>
      <c r="G560" s="406">
        <f t="shared" si="4"/>
        <v>0</v>
      </c>
      <c r="H560" s="406">
        <f t="shared" si="4"/>
        <v>0</v>
      </c>
      <c r="I560" s="406">
        <f t="shared" si="4"/>
        <v>73229741</v>
      </c>
      <c r="J560" s="407">
        <f t="shared" si="4"/>
        <v>34203852</v>
      </c>
      <c r="K560" s="408">
        <f>I560-J560</f>
        <v>39025889</v>
      </c>
      <c r="L560" s="409"/>
      <c r="N560" s="605"/>
    </row>
    <row r="561" spans="2:14" ht="15.75" x14ac:dyDescent="0.25">
      <c r="B561" s="474"/>
      <c r="C561" s="119" t="s">
        <v>70</v>
      </c>
      <c r="D561" s="119" t="s">
        <v>71</v>
      </c>
      <c r="E561" s="121">
        <f>'PROYECCION 2021'!C47</f>
        <v>6000083</v>
      </c>
      <c r="F561" s="122">
        <f>SUM(F562:F570)</f>
        <v>0</v>
      </c>
      <c r="G561" s="122">
        <f>SUM(G562:G570)</f>
        <v>0</v>
      </c>
      <c r="H561" s="122">
        <f>SUM(H562:H570)</f>
        <v>0</v>
      </c>
      <c r="I561" s="123">
        <f>E561+F561+G561-H561</f>
        <v>6000083</v>
      </c>
      <c r="J561" s="223">
        <f>SUM(J562:J570)</f>
        <v>959897</v>
      </c>
      <c r="K561" s="141">
        <f>I561-J561</f>
        <v>5040186</v>
      </c>
      <c r="L561" s="334"/>
      <c r="N561" s="312"/>
    </row>
    <row r="562" spans="2:14" x14ac:dyDescent="0.2">
      <c r="B562" s="477">
        <v>44305</v>
      </c>
      <c r="C562" s="335"/>
      <c r="D562" s="358" t="s">
        <v>274</v>
      </c>
      <c r="E562" s="336"/>
      <c r="F562" s="337"/>
      <c r="G562" s="338"/>
      <c r="H562" s="364"/>
      <c r="I562" s="340"/>
      <c r="J562" s="362">
        <v>668416</v>
      </c>
      <c r="K562" s="342"/>
      <c r="L562" s="334"/>
      <c r="N562" s="312"/>
    </row>
    <row r="563" spans="2:14" x14ac:dyDescent="0.2">
      <c r="B563" s="477">
        <v>44305</v>
      </c>
      <c r="C563" s="335"/>
      <c r="D563" s="358" t="s">
        <v>280</v>
      </c>
      <c r="E563" s="336"/>
      <c r="F563" s="337"/>
      <c r="G563" s="338"/>
      <c r="H563" s="364"/>
      <c r="I563" s="340"/>
      <c r="J563" s="362">
        <v>291481</v>
      </c>
      <c r="K563" s="342"/>
      <c r="L563" s="334"/>
      <c r="N563" s="312"/>
    </row>
    <row r="564" spans="2:14" x14ac:dyDescent="0.2">
      <c r="B564" s="477"/>
      <c r="C564" s="335"/>
      <c r="D564" s="335"/>
      <c r="E564" s="336"/>
      <c r="F564" s="337"/>
      <c r="G564" s="338"/>
      <c r="H564" s="364"/>
      <c r="I564" s="340"/>
      <c r="J564" s="345"/>
      <c r="K564" s="342"/>
      <c r="L564" s="334"/>
      <c r="N564" s="312"/>
    </row>
    <row r="565" spans="2:14" x14ac:dyDescent="0.2">
      <c r="B565" s="475"/>
      <c r="C565" s="335"/>
      <c r="D565" s="146"/>
      <c r="E565" s="336"/>
      <c r="F565" s="337"/>
      <c r="G565" s="338"/>
      <c r="H565" s="364"/>
      <c r="I565" s="340"/>
      <c r="J565" s="345"/>
      <c r="K565" s="342"/>
      <c r="L565" s="334"/>
      <c r="N565" s="312"/>
    </row>
    <row r="566" spans="2:14" x14ac:dyDescent="0.2">
      <c r="B566" s="477"/>
      <c r="C566" s="335"/>
      <c r="D566" s="352"/>
      <c r="E566" s="336"/>
      <c r="F566" s="337"/>
      <c r="G566" s="338"/>
      <c r="H566" s="364"/>
      <c r="I566" s="340"/>
      <c r="J566" s="341"/>
      <c r="K566" s="342"/>
      <c r="L566" s="334"/>
      <c r="N566" s="312"/>
    </row>
    <row r="567" spans="2:14" x14ac:dyDescent="0.2">
      <c r="B567" s="477"/>
      <c r="C567" s="335"/>
      <c r="D567" s="352"/>
      <c r="E567" s="336"/>
      <c r="F567" s="337"/>
      <c r="G567" s="338"/>
      <c r="H567" s="364"/>
      <c r="I567" s="340"/>
      <c r="J567" s="341"/>
      <c r="K567" s="342"/>
      <c r="L567" s="334"/>
      <c r="N567" s="312"/>
    </row>
    <row r="568" spans="2:14" x14ac:dyDescent="0.2">
      <c r="B568" s="476"/>
      <c r="C568" s="343"/>
      <c r="D568" s="343"/>
      <c r="E568" s="336"/>
      <c r="F568" s="337"/>
      <c r="G568" s="338"/>
      <c r="H568" s="364"/>
      <c r="I568" s="340"/>
      <c r="J568" s="341"/>
      <c r="K568" s="342"/>
      <c r="L568" s="334"/>
      <c r="N568" s="312"/>
    </row>
    <row r="569" spans="2:14" x14ac:dyDescent="0.2">
      <c r="B569" s="476"/>
      <c r="C569" s="343"/>
      <c r="D569" s="343"/>
      <c r="E569" s="336"/>
      <c r="F569" s="337"/>
      <c r="G569" s="338"/>
      <c r="H569" s="364"/>
      <c r="I569" s="340"/>
      <c r="J569" s="341"/>
      <c r="K569" s="342"/>
      <c r="L569" s="334"/>
      <c r="N569" s="312"/>
    </row>
    <row r="570" spans="2:14" x14ac:dyDescent="0.2">
      <c r="B570" s="476"/>
      <c r="C570" s="343"/>
      <c r="D570" s="343"/>
      <c r="E570" s="336"/>
      <c r="F570" s="337"/>
      <c r="G570" s="338"/>
      <c r="H570" s="364"/>
      <c r="I570" s="340"/>
      <c r="J570" s="341"/>
      <c r="K570" s="342"/>
      <c r="L570" s="334"/>
      <c r="N570" s="312"/>
    </row>
    <row r="571" spans="2:14" ht="15.75" x14ac:dyDescent="0.25">
      <c r="B571" s="474"/>
      <c r="C571" s="119">
        <v>2020110302</v>
      </c>
      <c r="D571" s="119" t="s">
        <v>73</v>
      </c>
      <c r="E571" s="121">
        <f>'PROYECCION 2021'!C48</f>
        <v>46429658</v>
      </c>
      <c r="F571" s="122">
        <f>SUM(F572:F585)</f>
        <v>0</v>
      </c>
      <c r="G571" s="122">
        <f>SUM(G572:G585)</f>
        <v>0</v>
      </c>
      <c r="H571" s="122">
        <f>SUM(H572:H585)</f>
        <v>0</v>
      </c>
      <c r="I571" s="123">
        <f>E571+F571+G571-H571</f>
        <v>46429658</v>
      </c>
      <c r="J571" s="223">
        <f>SUM(J572:J586)</f>
        <v>28176564</v>
      </c>
      <c r="K571" s="141">
        <f>I571-J571</f>
        <v>18253094</v>
      </c>
      <c r="L571" s="334"/>
      <c r="N571" s="312"/>
    </row>
    <row r="572" spans="2:14" x14ac:dyDescent="0.2">
      <c r="B572" s="476">
        <v>44224</v>
      </c>
      <c r="C572" s="343"/>
      <c r="D572" s="343" t="s">
        <v>193</v>
      </c>
      <c r="E572" s="336"/>
      <c r="F572" s="337"/>
      <c r="G572" s="338"/>
      <c r="H572" s="364"/>
      <c r="I572" s="340"/>
      <c r="J572" s="345">
        <v>3739179</v>
      </c>
      <c r="K572" s="410"/>
      <c r="L572" s="334"/>
      <c r="N572" s="312"/>
    </row>
    <row r="573" spans="2:14" x14ac:dyDescent="0.2">
      <c r="B573" s="475">
        <v>44256</v>
      </c>
      <c r="C573" s="335"/>
      <c r="D573" s="146" t="s">
        <v>249</v>
      </c>
      <c r="E573" s="336"/>
      <c r="F573" s="337"/>
      <c r="G573" s="338"/>
      <c r="H573" s="364"/>
      <c r="I573" s="340"/>
      <c r="J573" s="362">
        <v>3741710</v>
      </c>
      <c r="K573" s="410"/>
      <c r="L573" s="334"/>
      <c r="N573" s="312"/>
    </row>
    <row r="574" spans="2:14" x14ac:dyDescent="0.2">
      <c r="B574" s="478">
        <v>44284</v>
      </c>
      <c r="C574" s="357"/>
      <c r="D574" s="357" t="s">
        <v>267</v>
      </c>
      <c r="E574" s="336"/>
      <c r="F574" s="337"/>
      <c r="G574" s="338"/>
      <c r="H574" s="364"/>
      <c r="I574" s="340"/>
      <c r="J574" s="362">
        <v>4592353</v>
      </c>
      <c r="K574" s="410"/>
      <c r="L574" s="334"/>
      <c r="N574" s="312"/>
    </row>
    <row r="575" spans="2:14" x14ac:dyDescent="0.2">
      <c r="B575" s="478">
        <v>44312</v>
      </c>
      <c r="C575" s="357"/>
      <c r="D575" s="357" t="s">
        <v>281</v>
      </c>
      <c r="E575" s="359"/>
      <c r="F575" s="337"/>
      <c r="G575" s="338"/>
      <c r="H575" s="364"/>
      <c r="I575" s="340"/>
      <c r="J575" s="362">
        <v>4079082</v>
      </c>
      <c r="K575" s="410"/>
      <c r="L575" s="334"/>
      <c r="N575" s="312"/>
    </row>
    <row r="576" spans="2:14" ht="15.75" x14ac:dyDescent="0.25">
      <c r="B576" s="478">
        <v>44349</v>
      </c>
      <c r="C576" s="357"/>
      <c r="D576" s="357" t="s">
        <v>299</v>
      </c>
      <c r="E576" s="359"/>
      <c r="F576" s="337"/>
      <c r="G576" s="338"/>
      <c r="H576" s="364"/>
      <c r="I576" s="340"/>
      <c r="J576" s="362">
        <v>3995980</v>
      </c>
      <c r="K576" s="410"/>
      <c r="L576" s="429"/>
      <c r="N576" s="601"/>
    </row>
    <row r="577" spans="2:14" x14ac:dyDescent="0.2">
      <c r="B577" s="478">
        <v>44371</v>
      </c>
      <c r="C577" s="357"/>
      <c r="D577" s="357" t="s">
        <v>312</v>
      </c>
      <c r="E577" s="359"/>
      <c r="F577" s="337"/>
      <c r="G577" s="338"/>
      <c r="H577" s="364"/>
      <c r="I577" s="340"/>
      <c r="J577" s="362">
        <v>36300</v>
      </c>
      <c r="K577" s="410"/>
      <c r="L577" s="146"/>
      <c r="N577" s="312"/>
    </row>
    <row r="578" spans="2:14" x14ac:dyDescent="0.2">
      <c r="B578" s="478">
        <v>44371</v>
      </c>
      <c r="C578" s="357"/>
      <c r="D578" s="357" t="s">
        <v>313</v>
      </c>
      <c r="E578" s="359"/>
      <c r="F578" s="337"/>
      <c r="G578" s="338"/>
      <c r="H578" s="364"/>
      <c r="I578" s="340"/>
      <c r="J578" s="362">
        <v>3995980</v>
      </c>
      <c r="K578" s="410"/>
      <c r="L578" s="146"/>
      <c r="N578" s="312"/>
    </row>
    <row r="579" spans="2:14" x14ac:dyDescent="0.2">
      <c r="B579" s="478">
        <v>44404</v>
      </c>
      <c r="C579" s="357"/>
      <c r="D579" s="357" t="s">
        <v>321</v>
      </c>
      <c r="E579" s="359"/>
      <c r="F579" s="337"/>
      <c r="G579" s="338"/>
      <c r="H579" s="364"/>
      <c r="I579" s="340"/>
      <c r="J579" s="362">
        <v>3995980</v>
      </c>
      <c r="K579" s="410"/>
      <c r="L579" s="146"/>
      <c r="N579" s="312"/>
    </row>
    <row r="580" spans="2:14" x14ac:dyDescent="0.2">
      <c r="B580" s="478"/>
      <c r="C580" s="357"/>
      <c r="D580" s="357"/>
      <c r="E580" s="359"/>
      <c r="F580" s="337"/>
      <c r="G580" s="338"/>
      <c r="H580" s="364"/>
      <c r="I580" s="340"/>
      <c r="J580" s="345"/>
      <c r="K580" s="410"/>
      <c r="L580" s="146"/>
      <c r="N580" s="312"/>
    </row>
    <row r="581" spans="2:14" x14ac:dyDescent="0.2">
      <c r="B581" s="476"/>
      <c r="C581" s="343"/>
      <c r="D581" s="343"/>
      <c r="E581" s="336"/>
      <c r="F581" s="337"/>
      <c r="G581" s="338"/>
      <c r="H581" s="364"/>
      <c r="I581" s="340"/>
      <c r="J581" s="345"/>
      <c r="K581" s="410"/>
      <c r="L581" s="146"/>
      <c r="N581" s="312"/>
    </row>
    <row r="582" spans="2:14" x14ac:dyDescent="0.2">
      <c r="B582" s="476"/>
      <c r="C582" s="343"/>
      <c r="D582" s="343"/>
      <c r="E582" s="336"/>
      <c r="F582" s="337"/>
      <c r="G582" s="338"/>
      <c r="H582" s="364"/>
      <c r="I582" s="340"/>
      <c r="J582" s="345"/>
      <c r="K582" s="410"/>
      <c r="L582" s="146"/>
      <c r="N582" s="312"/>
    </row>
    <row r="583" spans="2:14" x14ac:dyDescent="0.2">
      <c r="B583" s="476"/>
      <c r="C583" s="343"/>
      <c r="D583" s="343"/>
      <c r="E583" s="336"/>
      <c r="F583" s="337"/>
      <c r="G583" s="338"/>
      <c r="H583" s="364"/>
      <c r="I583" s="340"/>
      <c r="J583" s="345"/>
      <c r="K583" s="410"/>
      <c r="L583" s="146"/>
      <c r="N583" s="312"/>
    </row>
    <row r="584" spans="2:14" x14ac:dyDescent="0.2">
      <c r="B584" s="476"/>
      <c r="C584" s="343"/>
      <c r="D584" s="343"/>
      <c r="E584" s="336"/>
      <c r="F584" s="337"/>
      <c r="G584" s="338"/>
      <c r="H584" s="364"/>
      <c r="I584" s="340"/>
      <c r="J584" s="345"/>
      <c r="K584" s="410"/>
      <c r="L584" s="351"/>
      <c r="N584" s="312"/>
    </row>
    <row r="585" spans="2:14" x14ac:dyDescent="0.2">
      <c r="B585" s="476"/>
      <c r="C585" s="343"/>
      <c r="D585" s="343"/>
      <c r="E585" s="336"/>
      <c r="F585" s="337"/>
      <c r="G585" s="338"/>
      <c r="H585" s="364"/>
      <c r="I585" s="340"/>
      <c r="J585" s="345"/>
      <c r="K585" s="410"/>
      <c r="L585" s="334"/>
      <c r="N585" s="312"/>
    </row>
    <row r="586" spans="2:14" x14ac:dyDescent="0.2">
      <c r="B586" s="476"/>
      <c r="C586" s="343"/>
      <c r="D586" s="343"/>
      <c r="E586" s="336"/>
      <c r="F586" s="337"/>
      <c r="G586" s="338"/>
      <c r="H586" s="364"/>
      <c r="I586" s="340"/>
      <c r="J586" s="345"/>
      <c r="K586" s="410"/>
      <c r="L586" s="334"/>
      <c r="N586" s="312"/>
    </row>
    <row r="587" spans="2:14" ht="15.75" x14ac:dyDescent="0.25">
      <c r="B587" s="474"/>
      <c r="C587" s="119">
        <v>2020110304</v>
      </c>
      <c r="D587" s="119" t="s">
        <v>74</v>
      </c>
      <c r="E587" s="121">
        <f>'PROYECCION 2021'!C49</f>
        <v>14000000</v>
      </c>
      <c r="F587" s="122">
        <f>SUM(F588:F603)</f>
        <v>0</v>
      </c>
      <c r="G587" s="122">
        <f>SUM(G588:G603)</f>
        <v>0</v>
      </c>
      <c r="H587" s="122">
        <f>SUM(H588:H603)</f>
        <v>0</v>
      </c>
      <c r="I587" s="123">
        <f>E587+F587+G587-H587</f>
        <v>14000000</v>
      </c>
      <c r="J587" s="223">
        <f>SUM(J588:J603)</f>
        <v>4952203</v>
      </c>
      <c r="K587" s="141">
        <f>I587-J587</f>
        <v>9047797</v>
      </c>
      <c r="L587" s="334"/>
      <c r="N587" s="312"/>
    </row>
    <row r="588" spans="2:14" x14ac:dyDescent="0.2">
      <c r="B588" s="475">
        <v>44224</v>
      </c>
      <c r="C588" s="335"/>
      <c r="D588" s="146" t="s">
        <v>193</v>
      </c>
      <c r="E588" s="336"/>
      <c r="F588" s="337"/>
      <c r="G588" s="338"/>
      <c r="H588" s="364"/>
      <c r="I588" s="340"/>
      <c r="J588" s="362">
        <f>720619</f>
        <v>720619</v>
      </c>
      <c r="K588" s="342"/>
      <c r="L588" s="334"/>
      <c r="N588" s="312"/>
    </row>
    <row r="589" spans="2:14" x14ac:dyDescent="0.2">
      <c r="B589" s="475">
        <v>44256</v>
      </c>
      <c r="C589" s="335"/>
      <c r="D589" s="146" t="s">
        <v>249</v>
      </c>
      <c r="E589" s="336"/>
      <c r="F589" s="337"/>
      <c r="G589" s="338"/>
      <c r="H589" s="364"/>
      <c r="I589" s="340"/>
      <c r="J589" s="362">
        <f>720719</f>
        <v>720719</v>
      </c>
      <c r="K589" s="342"/>
      <c r="L589" s="334"/>
      <c r="N589" s="312"/>
    </row>
    <row r="590" spans="2:14" x14ac:dyDescent="0.2">
      <c r="B590" s="478">
        <v>44281</v>
      </c>
      <c r="C590" s="357"/>
      <c r="D590" s="598" t="s">
        <v>267</v>
      </c>
      <c r="E590" s="336"/>
      <c r="F590" s="337"/>
      <c r="G590" s="338"/>
      <c r="H590" s="364"/>
      <c r="I590" s="340"/>
      <c r="J590" s="362">
        <f>653527</f>
        <v>653527</v>
      </c>
      <c r="K590" s="342"/>
      <c r="L590" s="334"/>
      <c r="N590" s="312"/>
    </row>
    <row r="591" spans="2:14" x14ac:dyDescent="0.2">
      <c r="B591" s="478">
        <v>44312</v>
      </c>
      <c r="C591" s="357"/>
      <c r="D591" s="357" t="s">
        <v>281</v>
      </c>
      <c r="E591" s="336"/>
      <c r="F591" s="337"/>
      <c r="G591" s="338"/>
      <c r="H591" s="364"/>
      <c r="I591" s="340"/>
      <c r="J591" s="362">
        <v>790686</v>
      </c>
      <c r="K591" s="342"/>
      <c r="L591" s="334"/>
      <c r="N591" s="312"/>
    </row>
    <row r="592" spans="2:14" x14ac:dyDescent="0.2">
      <c r="B592" s="478">
        <v>44349</v>
      </c>
      <c r="C592" s="357"/>
      <c r="D592" s="357" t="s">
        <v>299</v>
      </c>
      <c r="E592" s="336"/>
      <c r="F592" s="337"/>
      <c r="G592" s="338"/>
      <c r="H592" s="364"/>
      <c r="I592" s="340"/>
      <c r="J592" s="362">
        <v>673384</v>
      </c>
      <c r="K592" s="342"/>
      <c r="L592" s="334"/>
      <c r="N592" s="601"/>
    </row>
    <row r="593" spans="2:14" x14ac:dyDescent="0.2">
      <c r="B593" s="478">
        <v>44371</v>
      </c>
      <c r="C593" s="357"/>
      <c r="D593" s="357" t="s">
        <v>312</v>
      </c>
      <c r="E593" s="336"/>
      <c r="F593" s="337"/>
      <c r="G593" s="338"/>
      <c r="H593" s="364"/>
      <c r="I593" s="340"/>
      <c r="J593" s="362">
        <v>46500</v>
      </c>
      <c r="K593" s="342"/>
      <c r="L593" s="334"/>
      <c r="N593" s="312"/>
    </row>
    <row r="594" spans="2:14" x14ac:dyDescent="0.2">
      <c r="B594" s="478">
        <v>44371</v>
      </c>
      <c r="C594" s="357"/>
      <c r="D594" s="357" t="s">
        <v>313</v>
      </c>
      <c r="E594" s="336"/>
      <c r="F594" s="337"/>
      <c r="G594" s="338"/>
      <c r="H594" s="364"/>
      <c r="I594" s="340"/>
      <c r="J594" s="362">
        <v>673384</v>
      </c>
      <c r="K594" s="342"/>
      <c r="L594" s="334"/>
      <c r="N594" s="312"/>
    </row>
    <row r="595" spans="2:14" x14ac:dyDescent="0.2">
      <c r="B595" s="478">
        <v>44404</v>
      </c>
      <c r="C595" s="357"/>
      <c r="D595" s="357" t="s">
        <v>321</v>
      </c>
      <c r="E595" s="336"/>
      <c r="F595" s="337"/>
      <c r="G595" s="338"/>
      <c r="H595" s="364"/>
      <c r="I595" s="340"/>
      <c r="J595" s="362">
        <v>673384</v>
      </c>
      <c r="K595" s="349"/>
      <c r="L595" s="146"/>
      <c r="N595" s="312"/>
    </row>
    <row r="596" spans="2:14" x14ac:dyDescent="0.2">
      <c r="B596" s="475"/>
      <c r="C596" s="335"/>
      <c r="D596" s="352"/>
      <c r="E596" s="336"/>
      <c r="F596" s="337"/>
      <c r="G596" s="338"/>
      <c r="H596" s="364"/>
      <c r="I596" s="340"/>
      <c r="J596" s="362"/>
      <c r="K596" s="342"/>
      <c r="L596" s="334"/>
      <c r="N596" s="312"/>
    </row>
    <row r="597" spans="2:14" x14ac:dyDescent="0.2">
      <c r="B597" s="475"/>
      <c r="C597" s="335"/>
      <c r="D597" s="352"/>
      <c r="E597" s="336"/>
      <c r="F597" s="337"/>
      <c r="G597" s="338"/>
      <c r="H597" s="364"/>
      <c r="I597" s="340"/>
      <c r="J597" s="345"/>
      <c r="K597" s="342"/>
      <c r="L597" s="334"/>
      <c r="N597" s="312"/>
    </row>
    <row r="598" spans="2:14" x14ac:dyDescent="0.2">
      <c r="B598" s="475"/>
      <c r="C598" s="403"/>
      <c r="D598" s="146"/>
      <c r="E598" s="336"/>
      <c r="F598" s="337"/>
      <c r="G598" s="338"/>
      <c r="H598" s="364"/>
      <c r="I598" s="340"/>
      <c r="J598" s="341"/>
      <c r="K598" s="342"/>
      <c r="L598" s="334"/>
      <c r="N598" s="312"/>
    </row>
    <row r="599" spans="2:14" x14ac:dyDescent="0.2">
      <c r="B599" s="477"/>
      <c r="C599" s="335"/>
      <c r="D599" s="352"/>
      <c r="E599" s="336"/>
      <c r="F599" s="337"/>
      <c r="G599" s="338"/>
      <c r="H599" s="364"/>
      <c r="I599" s="340"/>
      <c r="J599" s="341"/>
      <c r="K599" s="342"/>
      <c r="L599" s="354"/>
      <c r="N599" s="312"/>
    </row>
    <row r="600" spans="2:14" x14ac:dyDescent="0.2">
      <c r="B600" s="476"/>
      <c r="C600" s="343"/>
      <c r="D600" s="343"/>
      <c r="E600" s="336"/>
      <c r="F600" s="337"/>
      <c r="G600" s="338"/>
      <c r="H600" s="364"/>
      <c r="I600" s="340"/>
      <c r="J600" s="341"/>
      <c r="K600" s="342"/>
      <c r="L600" s="334"/>
      <c r="N600" s="312"/>
    </row>
    <row r="601" spans="2:14" x14ac:dyDescent="0.2">
      <c r="B601" s="477"/>
      <c r="C601" s="335"/>
      <c r="D601" s="352"/>
      <c r="E601" s="336"/>
      <c r="F601" s="337"/>
      <c r="G601" s="338"/>
      <c r="H601" s="364"/>
      <c r="I601" s="340"/>
      <c r="J601" s="341"/>
      <c r="K601" s="342"/>
      <c r="L601" s="334"/>
      <c r="N601" s="312"/>
    </row>
    <row r="602" spans="2:14" x14ac:dyDescent="0.2">
      <c r="B602" s="477"/>
      <c r="C602" s="335"/>
      <c r="D602" s="352"/>
      <c r="E602" s="336"/>
      <c r="F602" s="337"/>
      <c r="G602" s="338"/>
      <c r="H602" s="364"/>
      <c r="I602" s="340"/>
      <c r="J602" s="341"/>
      <c r="K602" s="342"/>
      <c r="L602" s="334"/>
      <c r="N602" s="312"/>
    </row>
    <row r="603" spans="2:14" x14ac:dyDescent="0.2">
      <c r="B603" s="476"/>
      <c r="C603" s="343"/>
      <c r="D603" s="343"/>
      <c r="E603" s="336"/>
      <c r="F603" s="337"/>
      <c r="G603" s="338"/>
      <c r="H603" s="364"/>
      <c r="I603" s="340"/>
      <c r="J603" s="341"/>
      <c r="K603" s="342"/>
      <c r="L603" s="334"/>
      <c r="N603" s="312"/>
    </row>
    <row r="604" spans="2:14" ht="15.75" x14ac:dyDescent="0.25">
      <c r="B604" s="474"/>
      <c r="C604" s="119">
        <v>2020110305</v>
      </c>
      <c r="D604" s="119" t="s">
        <v>75</v>
      </c>
      <c r="E604" s="121">
        <f>'PROYECCION 2021'!C50</f>
        <v>6800000</v>
      </c>
      <c r="F604" s="122">
        <f>SUM(F605:F613)</f>
        <v>0</v>
      </c>
      <c r="G604" s="122">
        <f>SUM(G605:G613)</f>
        <v>0</v>
      </c>
      <c r="H604" s="122">
        <f>SUM(H605:H613)</f>
        <v>0</v>
      </c>
      <c r="I604" s="123">
        <f>E604+F604+G604-H604</f>
        <v>6800000</v>
      </c>
      <c r="J604" s="223">
        <f>SUM(J605:J613)</f>
        <v>115188</v>
      </c>
      <c r="K604" s="141">
        <f>I604-J604</f>
        <v>6684812</v>
      </c>
      <c r="L604" s="334"/>
      <c r="N604" s="312"/>
    </row>
    <row r="605" spans="2:14" x14ac:dyDescent="0.2">
      <c r="B605" s="477">
        <v>44305</v>
      </c>
      <c r="C605" s="335"/>
      <c r="D605" s="358" t="s">
        <v>274</v>
      </c>
      <c r="E605" s="336"/>
      <c r="F605" s="337"/>
      <c r="G605" s="338"/>
      <c r="H605" s="364"/>
      <c r="I605" s="340"/>
      <c r="J605" s="362">
        <v>80210</v>
      </c>
      <c r="K605" s="342"/>
      <c r="L605" s="334"/>
      <c r="N605" s="312"/>
    </row>
    <row r="606" spans="2:14" x14ac:dyDescent="0.2">
      <c r="B606" s="477">
        <v>44305</v>
      </c>
      <c r="C606" s="335"/>
      <c r="D606" s="358" t="s">
        <v>280</v>
      </c>
      <c r="E606" s="336"/>
      <c r="F606" s="337"/>
      <c r="G606" s="338"/>
      <c r="H606" s="364"/>
      <c r="I606" s="340"/>
      <c r="J606" s="362">
        <v>34978</v>
      </c>
      <c r="K606" s="342"/>
      <c r="L606" s="334"/>
      <c r="N606" s="312"/>
    </row>
    <row r="607" spans="2:14" x14ac:dyDescent="0.2">
      <c r="B607" s="477"/>
      <c r="C607" s="335"/>
      <c r="D607" s="335"/>
      <c r="E607" s="336"/>
      <c r="F607" s="337"/>
      <c r="G607" s="338"/>
      <c r="H607" s="364"/>
      <c r="I607" s="340"/>
      <c r="J607" s="345"/>
      <c r="K607" s="342"/>
      <c r="L607" s="334"/>
      <c r="N607" s="312"/>
    </row>
    <row r="608" spans="2:14" x14ac:dyDescent="0.2">
      <c r="B608" s="475"/>
      <c r="C608" s="335"/>
      <c r="D608" s="146"/>
      <c r="E608" s="336"/>
      <c r="F608" s="337"/>
      <c r="G608" s="338"/>
      <c r="H608" s="364"/>
      <c r="I608" s="340"/>
      <c r="J608" s="345"/>
      <c r="K608" s="342"/>
      <c r="L608" s="334"/>
      <c r="N608" s="312"/>
    </row>
    <row r="609" spans="2:14" x14ac:dyDescent="0.2">
      <c r="B609" s="477"/>
      <c r="C609" s="335"/>
      <c r="D609" s="352"/>
      <c r="E609" s="336"/>
      <c r="F609" s="337"/>
      <c r="G609" s="338"/>
      <c r="H609" s="364"/>
      <c r="I609" s="340"/>
      <c r="J609" s="345"/>
      <c r="K609" s="342"/>
      <c r="L609" s="334"/>
      <c r="N609" s="312"/>
    </row>
    <row r="610" spans="2:14" x14ac:dyDescent="0.2">
      <c r="B610" s="477"/>
      <c r="C610" s="335"/>
      <c r="D610" s="352"/>
      <c r="E610" s="353"/>
      <c r="F610" s="337"/>
      <c r="G610" s="338"/>
      <c r="H610" s="364"/>
      <c r="I610" s="348"/>
      <c r="J610" s="345"/>
      <c r="K610" s="342"/>
      <c r="L610" s="334"/>
      <c r="N610" s="312"/>
    </row>
    <row r="611" spans="2:14" x14ac:dyDescent="0.2">
      <c r="B611" s="477"/>
      <c r="C611" s="335"/>
      <c r="D611" s="352"/>
      <c r="E611" s="336"/>
      <c r="F611" s="337"/>
      <c r="G611" s="338"/>
      <c r="H611" s="364"/>
      <c r="I611" s="340"/>
      <c r="J611" s="341"/>
      <c r="K611" s="342"/>
      <c r="L611" s="334"/>
      <c r="N611" s="312"/>
    </row>
    <row r="612" spans="2:14" x14ac:dyDescent="0.2">
      <c r="B612" s="477"/>
      <c r="C612" s="335"/>
      <c r="D612" s="352"/>
      <c r="E612" s="336"/>
      <c r="F612" s="337"/>
      <c r="G612" s="338"/>
      <c r="H612" s="364"/>
      <c r="I612" s="340"/>
      <c r="J612" s="341"/>
      <c r="K612" s="342"/>
      <c r="L612" s="334"/>
      <c r="N612" s="312"/>
    </row>
    <row r="613" spans="2:14" x14ac:dyDescent="0.2">
      <c r="B613" s="476"/>
      <c r="C613" s="343"/>
      <c r="D613" s="343"/>
      <c r="E613" s="336"/>
      <c r="F613" s="337"/>
      <c r="G613" s="338"/>
      <c r="H613" s="364"/>
      <c r="I613" s="340"/>
      <c r="J613" s="341"/>
      <c r="K613" s="342"/>
      <c r="L613" s="334"/>
      <c r="N613" s="312"/>
    </row>
    <row r="614" spans="2:14" s="136" customFormat="1" ht="15.75" x14ac:dyDescent="0.25">
      <c r="B614" s="488"/>
      <c r="C614" s="404">
        <v>20201104</v>
      </c>
      <c r="D614" s="405" t="s">
        <v>135</v>
      </c>
      <c r="E614" s="406">
        <f>ROUND((E615+E628+E632+E648+E664+E680+E696+E711+E731+E748),0)</f>
        <v>133100000</v>
      </c>
      <c r="F614" s="406">
        <f>ROUND((F615+F628+F632+F648+F664+F680+F696+F711+F731+F748),0)</f>
        <v>30000000</v>
      </c>
      <c r="G614" s="406">
        <f>ROUND((G615+G628+G632+G648+G664+G680+G696+G711+G731+G748+G760),0)</f>
        <v>3000000</v>
      </c>
      <c r="H614" s="406">
        <f>ROUND((H615+H628+H632+H648+H664+H680+H696+H711+H731+H748),0)</f>
        <v>0</v>
      </c>
      <c r="I614" s="406">
        <f>ROUND((I615+I628+I632+I648+I664+I680+I696+I711+I731+I748),0)</f>
        <v>166100000</v>
      </c>
      <c r="J614" s="407">
        <f>ROUND((J615+J628+J632+J648+J664+J680+J696+J711+J731+J748),0)</f>
        <v>79249791</v>
      </c>
      <c r="K614" s="408">
        <f>I614-J614</f>
        <v>86850209</v>
      </c>
      <c r="L614" s="409"/>
      <c r="N614" s="605"/>
    </row>
    <row r="615" spans="2:14" ht="15.75" x14ac:dyDescent="0.25">
      <c r="B615" s="474"/>
      <c r="C615" s="411" t="s">
        <v>77</v>
      </c>
      <c r="D615" s="119" t="s">
        <v>149</v>
      </c>
      <c r="E615" s="121">
        <f>'PROYECCION 2021'!C52</f>
        <v>12000000</v>
      </c>
      <c r="F615" s="122">
        <f>SUM(F616:F627)</f>
        <v>30000000</v>
      </c>
      <c r="G615" s="122">
        <f>SUM(G616:G627)</f>
        <v>3000000</v>
      </c>
      <c r="H615" s="122">
        <f>SUM(H616:H627)</f>
        <v>0</v>
      </c>
      <c r="I615" s="123">
        <f>ROUND((E615+F615+G615-H615),0)</f>
        <v>45000000</v>
      </c>
      <c r="J615" s="223">
        <f>SUM(J616:J627)</f>
        <v>12343990</v>
      </c>
      <c r="K615" s="141">
        <f>I615-J615</f>
        <v>32656010</v>
      </c>
      <c r="L615" s="334"/>
      <c r="N615" s="312"/>
    </row>
    <row r="616" spans="2:14" x14ac:dyDescent="0.2">
      <c r="B616" s="477">
        <v>44236</v>
      </c>
      <c r="C616" s="335"/>
      <c r="D616" s="352" t="s">
        <v>209</v>
      </c>
      <c r="E616" s="336"/>
      <c r="F616" s="337"/>
      <c r="G616" s="338">
        <v>3000000</v>
      </c>
      <c r="H616" s="364"/>
      <c r="I616" s="340"/>
      <c r="J616" s="341"/>
      <c r="K616" s="342"/>
      <c r="N616" s="312"/>
    </row>
    <row r="617" spans="2:14" x14ac:dyDescent="0.2">
      <c r="B617" s="477">
        <v>44239</v>
      </c>
      <c r="C617" s="335"/>
      <c r="D617" s="352" t="s">
        <v>251</v>
      </c>
      <c r="E617" s="336"/>
      <c r="F617" s="337"/>
      <c r="G617" s="338"/>
      <c r="H617" s="364"/>
      <c r="I617" s="340"/>
      <c r="J617" s="398">
        <v>12343990</v>
      </c>
      <c r="K617" s="342"/>
      <c r="L617" s="334"/>
      <c r="N617" s="312"/>
    </row>
    <row r="618" spans="2:14" x14ac:dyDescent="0.2">
      <c r="B618" s="477">
        <v>44319</v>
      </c>
      <c r="C618" s="335"/>
      <c r="D618" s="352" t="s">
        <v>294</v>
      </c>
      <c r="E618" s="336"/>
      <c r="F618" s="337">
        <v>30000000</v>
      </c>
      <c r="G618" s="338"/>
      <c r="H618" s="364"/>
      <c r="I618" s="340"/>
      <c r="J618" s="341"/>
      <c r="K618" s="342"/>
      <c r="L618" s="334"/>
      <c r="N618" s="312"/>
    </row>
    <row r="619" spans="2:14" x14ac:dyDescent="0.2">
      <c r="B619" s="477"/>
      <c r="C619" s="335"/>
      <c r="D619" s="335"/>
      <c r="E619" s="336"/>
      <c r="F619" s="337"/>
      <c r="G619" s="338"/>
      <c r="H619" s="364"/>
      <c r="I619" s="340"/>
      <c r="J619" s="341"/>
      <c r="K619" s="342"/>
      <c r="L619" s="334"/>
      <c r="N619" s="312"/>
    </row>
    <row r="620" spans="2:14" x14ac:dyDescent="0.2">
      <c r="B620" s="477"/>
      <c r="C620" s="335"/>
      <c r="D620" s="352"/>
      <c r="E620" s="336"/>
      <c r="F620" s="337"/>
      <c r="G620" s="338"/>
      <c r="H620" s="364"/>
      <c r="I620" s="340"/>
      <c r="J620" s="341"/>
      <c r="K620" s="342"/>
      <c r="L620" s="334"/>
      <c r="N620" s="312"/>
    </row>
    <row r="621" spans="2:14" x14ac:dyDescent="0.2">
      <c r="B621" s="477"/>
      <c r="C621" s="335"/>
      <c r="D621" s="352"/>
      <c r="E621" s="336"/>
      <c r="F621" s="337"/>
      <c r="G621" s="338"/>
      <c r="H621" s="364"/>
      <c r="I621" s="340"/>
      <c r="J621" s="413"/>
      <c r="K621" s="342"/>
      <c r="L621" s="334"/>
      <c r="N621" s="312"/>
    </row>
    <row r="622" spans="2:14" x14ac:dyDescent="0.2">
      <c r="B622" s="476"/>
      <c r="C622" s="412"/>
      <c r="D622" s="343"/>
      <c r="E622" s="336"/>
      <c r="F622" s="337"/>
      <c r="G622" s="338"/>
      <c r="H622" s="364"/>
      <c r="I622" s="340"/>
      <c r="J622" s="341"/>
      <c r="K622" s="342"/>
      <c r="L622" s="334"/>
      <c r="N622" s="312"/>
    </row>
    <row r="623" spans="2:14" x14ac:dyDescent="0.2">
      <c r="B623" s="476"/>
      <c r="C623" s="412"/>
      <c r="D623" s="343"/>
      <c r="E623" s="336"/>
      <c r="F623" s="337"/>
      <c r="G623" s="338"/>
      <c r="H623" s="364"/>
      <c r="I623" s="340"/>
      <c r="J623" s="341"/>
      <c r="K623" s="342"/>
      <c r="L623" s="334"/>
      <c r="N623" s="312"/>
    </row>
    <row r="624" spans="2:14" x14ac:dyDescent="0.2">
      <c r="B624" s="476"/>
      <c r="C624" s="412"/>
      <c r="D624" s="343"/>
      <c r="E624" s="336"/>
      <c r="F624" s="337"/>
      <c r="G624" s="338"/>
      <c r="H624" s="364"/>
      <c r="I624" s="340"/>
      <c r="J624" s="341"/>
      <c r="K624" s="342"/>
      <c r="L624" s="334"/>
      <c r="N624" s="312"/>
    </row>
    <row r="625" spans="2:14" x14ac:dyDescent="0.2">
      <c r="B625" s="476"/>
      <c r="C625" s="412"/>
      <c r="D625" s="343"/>
      <c r="E625" s="336"/>
      <c r="F625" s="337"/>
      <c r="G625" s="338"/>
      <c r="H625" s="364"/>
      <c r="I625" s="340"/>
      <c r="J625" s="341"/>
      <c r="K625" s="342"/>
      <c r="L625" s="334"/>
      <c r="N625" s="312"/>
    </row>
    <row r="626" spans="2:14" x14ac:dyDescent="0.2">
      <c r="B626" s="476"/>
      <c r="C626" s="412"/>
      <c r="D626" s="343"/>
      <c r="E626" s="336"/>
      <c r="F626" s="337"/>
      <c r="G626" s="338"/>
      <c r="H626" s="364"/>
      <c r="I626" s="340"/>
      <c r="J626" s="341"/>
      <c r="K626" s="342"/>
      <c r="L626" s="334"/>
      <c r="N626" s="312"/>
    </row>
    <row r="627" spans="2:14" x14ac:dyDescent="0.2">
      <c r="B627" s="476"/>
      <c r="C627" s="412"/>
      <c r="D627" s="343"/>
      <c r="E627" s="336"/>
      <c r="F627" s="337"/>
      <c r="G627" s="338"/>
      <c r="H627" s="364"/>
      <c r="I627" s="340"/>
      <c r="J627" s="341"/>
      <c r="K627" s="342"/>
      <c r="L627" s="334"/>
      <c r="N627" s="312"/>
    </row>
    <row r="628" spans="2:14" ht="15.75" x14ac:dyDescent="0.25">
      <c r="B628" s="474"/>
      <c r="C628" s="119" t="s">
        <v>79</v>
      </c>
      <c r="D628" s="119" t="s">
        <v>73</v>
      </c>
      <c r="E628" s="121">
        <v>0</v>
      </c>
      <c r="F628" s="122"/>
      <c r="G628" s="123"/>
      <c r="H628" s="123"/>
      <c r="I628" s="123">
        <f>ROUND((E628+F628+G628-H628),0)</f>
        <v>0</v>
      </c>
      <c r="J628" s="223"/>
      <c r="K628" s="142"/>
      <c r="L628" s="334"/>
      <c r="N628" s="312"/>
    </row>
    <row r="629" spans="2:14" x14ac:dyDescent="0.2">
      <c r="B629" s="476"/>
      <c r="C629" s="343"/>
      <c r="D629" s="343"/>
      <c r="E629" s="336"/>
      <c r="F629" s="337"/>
      <c r="G629" s="338"/>
      <c r="H629" s="364"/>
      <c r="I629" s="340"/>
      <c r="J629" s="341"/>
      <c r="K629" s="342"/>
      <c r="L629" s="334"/>
      <c r="N629" s="312"/>
    </row>
    <row r="630" spans="2:14" x14ac:dyDescent="0.2">
      <c r="B630" s="476"/>
      <c r="C630" s="343"/>
      <c r="D630" s="343"/>
      <c r="E630" s="336"/>
      <c r="F630" s="337"/>
      <c r="G630" s="338"/>
      <c r="H630" s="364"/>
      <c r="I630" s="340"/>
      <c r="J630" s="341"/>
      <c r="K630" s="342"/>
      <c r="L630" s="334"/>
      <c r="N630" s="312"/>
    </row>
    <row r="631" spans="2:14" x14ac:dyDescent="0.2">
      <c r="B631" s="476"/>
      <c r="C631" s="343"/>
      <c r="D631" s="343"/>
      <c r="E631" s="336"/>
      <c r="F631" s="337"/>
      <c r="G631" s="338"/>
      <c r="H631" s="364"/>
      <c r="I631" s="340"/>
      <c r="J631" s="341"/>
      <c r="K631" s="342"/>
      <c r="L631" s="334"/>
      <c r="N631" s="312"/>
    </row>
    <row r="632" spans="2:14" ht="15.75" x14ac:dyDescent="0.25">
      <c r="B632" s="474"/>
      <c r="C632" s="119" t="s">
        <v>80</v>
      </c>
      <c r="D632" s="119" t="s">
        <v>81</v>
      </c>
      <c r="E632" s="121">
        <f>'PROYECCION 2021'!C54</f>
        <v>3900000</v>
      </c>
      <c r="F632" s="122">
        <f>SUM(F633:F647)</f>
        <v>0</v>
      </c>
      <c r="G632" s="122">
        <f>SUM(G633:G647)</f>
        <v>0</v>
      </c>
      <c r="H632" s="122">
        <f>SUM(H633:H647)</f>
        <v>0</v>
      </c>
      <c r="I632" s="123">
        <f>ROUND((E632+F632+G632-H632),0)</f>
        <v>3900000</v>
      </c>
      <c r="J632" s="223">
        <f>SUM(J633:J647)</f>
        <v>1678600</v>
      </c>
      <c r="K632" s="141">
        <f>I632-J632</f>
        <v>2221400</v>
      </c>
      <c r="L632" s="334"/>
      <c r="N632" s="312"/>
    </row>
    <row r="633" spans="2:14" x14ac:dyDescent="0.2">
      <c r="B633" s="475">
        <v>44224</v>
      </c>
      <c r="C633" s="335"/>
      <c r="D633" s="146" t="s">
        <v>193</v>
      </c>
      <c r="E633" s="336"/>
      <c r="F633" s="337"/>
      <c r="G633" s="338"/>
      <c r="H633" s="364"/>
      <c r="I633" s="340"/>
      <c r="J633" s="345">
        <v>211900</v>
      </c>
      <c r="K633" s="342"/>
      <c r="L633" s="334"/>
      <c r="N633" s="312"/>
    </row>
    <row r="634" spans="2:14" x14ac:dyDescent="0.2">
      <c r="B634" s="475">
        <v>44256</v>
      </c>
      <c r="C634" s="335"/>
      <c r="D634" s="146" t="s">
        <v>249</v>
      </c>
      <c r="E634" s="336"/>
      <c r="F634" s="337"/>
      <c r="G634" s="338"/>
      <c r="H634" s="364"/>
      <c r="I634" s="340"/>
      <c r="J634" s="345">
        <v>216100</v>
      </c>
      <c r="K634" s="342"/>
      <c r="L634" s="334"/>
      <c r="N634" s="312"/>
    </row>
    <row r="635" spans="2:14" x14ac:dyDescent="0.2">
      <c r="B635" s="476">
        <v>44281</v>
      </c>
      <c r="C635" s="343"/>
      <c r="D635" s="146" t="s">
        <v>267</v>
      </c>
      <c r="E635" s="336"/>
      <c r="F635" s="337"/>
      <c r="G635" s="338"/>
      <c r="H635" s="364"/>
      <c r="I635" s="340"/>
      <c r="J635" s="362">
        <v>259700</v>
      </c>
      <c r="K635" s="342"/>
      <c r="L635" s="334"/>
      <c r="N635" s="312"/>
    </row>
    <row r="636" spans="2:14" x14ac:dyDescent="0.2">
      <c r="B636" s="597">
        <v>44312</v>
      </c>
      <c r="C636" s="357"/>
      <c r="D636" s="357" t="s">
        <v>281</v>
      </c>
      <c r="E636" s="336"/>
      <c r="F636" s="337"/>
      <c r="G636" s="338"/>
      <c r="H636" s="364"/>
      <c r="I636" s="340"/>
      <c r="J636" s="362">
        <v>250500</v>
      </c>
      <c r="K636" s="342"/>
      <c r="L636" s="334"/>
      <c r="N636" s="312"/>
    </row>
    <row r="637" spans="2:14" ht="15.75" x14ac:dyDescent="0.25">
      <c r="B637" s="597">
        <v>44349</v>
      </c>
      <c r="C637" s="357"/>
      <c r="D637" s="598" t="s">
        <v>299</v>
      </c>
      <c r="E637" s="336"/>
      <c r="F637" s="337"/>
      <c r="G637" s="338"/>
      <c r="H637" s="364"/>
      <c r="I637" s="340"/>
      <c r="J637" s="362">
        <v>245300</v>
      </c>
      <c r="K637" s="346"/>
      <c r="L637" s="347"/>
      <c r="N637" s="624"/>
    </row>
    <row r="638" spans="2:14" x14ac:dyDescent="0.2">
      <c r="B638" s="478">
        <v>44371</v>
      </c>
      <c r="C638" s="357"/>
      <c r="D638" s="357" t="s">
        <v>312</v>
      </c>
      <c r="E638" s="336"/>
      <c r="F638" s="337"/>
      <c r="G638" s="338"/>
      <c r="H638" s="364"/>
      <c r="I638" s="340"/>
      <c r="J638" s="362">
        <v>4500</v>
      </c>
      <c r="K638" s="342"/>
      <c r="L638" s="334"/>
      <c r="N638" s="312"/>
    </row>
    <row r="639" spans="2:14" x14ac:dyDescent="0.2">
      <c r="B639" s="478">
        <v>44371</v>
      </c>
      <c r="C639" s="357"/>
      <c r="D639" s="357" t="s">
        <v>313</v>
      </c>
      <c r="E639" s="336"/>
      <c r="F639" s="337"/>
      <c r="G639" s="338"/>
      <c r="H639" s="364"/>
      <c r="I639" s="340"/>
      <c r="J639" s="362">
        <v>245300</v>
      </c>
      <c r="K639" s="342"/>
      <c r="L639" s="334"/>
      <c r="N639" s="312"/>
    </row>
    <row r="640" spans="2:14" x14ac:dyDescent="0.2">
      <c r="B640" s="478">
        <v>44404</v>
      </c>
      <c r="C640" s="357"/>
      <c r="D640" s="357" t="s">
        <v>321</v>
      </c>
      <c r="E640" s="336"/>
      <c r="F640" s="337"/>
      <c r="G640" s="338"/>
      <c r="H640" s="364"/>
      <c r="I640" s="340"/>
      <c r="J640" s="362">
        <v>245300</v>
      </c>
      <c r="K640" s="342"/>
      <c r="L640" s="334"/>
      <c r="N640" s="312"/>
    </row>
    <row r="641" spans="2:14" x14ac:dyDescent="0.2">
      <c r="B641" s="475"/>
      <c r="C641" s="335"/>
      <c r="D641" s="352"/>
      <c r="E641" s="336"/>
      <c r="F641" s="337"/>
      <c r="G641" s="338"/>
      <c r="H641" s="364"/>
      <c r="I641" s="340"/>
      <c r="J641" s="362"/>
      <c r="K641" s="342"/>
      <c r="L641" s="334"/>
      <c r="N641" s="312"/>
    </row>
    <row r="642" spans="2:14" x14ac:dyDescent="0.2">
      <c r="B642" s="475"/>
      <c r="C642" s="335"/>
      <c r="D642" s="352"/>
      <c r="E642" s="336"/>
      <c r="F642" s="337"/>
      <c r="G642" s="338"/>
      <c r="H642" s="364"/>
      <c r="I642" s="340"/>
      <c r="J642" s="345"/>
      <c r="K642" s="342"/>
      <c r="L642" s="334"/>
      <c r="N642" s="312"/>
    </row>
    <row r="643" spans="2:14" x14ac:dyDescent="0.2">
      <c r="B643" s="475"/>
      <c r="C643" s="403"/>
      <c r="D643" s="146"/>
      <c r="E643" s="336"/>
      <c r="F643" s="337"/>
      <c r="G643" s="338"/>
      <c r="H643" s="364"/>
      <c r="I643" s="340"/>
      <c r="J643" s="341"/>
      <c r="K643" s="342"/>
      <c r="L643" s="334"/>
      <c r="N643" s="312"/>
    </row>
    <row r="644" spans="2:14" x14ac:dyDescent="0.2">
      <c r="B644" s="475"/>
      <c r="C644" s="403"/>
      <c r="D644" s="146"/>
      <c r="E644" s="336"/>
      <c r="F644" s="337"/>
      <c r="G644" s="338"/>
      <c r="H644" s="364"/>
      <c r="I644" s="340"/>
      <c r="J644" s="341"/>
      <c r="K644" s="342"/>
      <c r="L644" s="334"/>
      <c r="N644" s="312"/>
    </row>
    <row r="645" spans="2:14" x14ac:dyDescent="0.2">
      <c r="B645" s="476"/>
      <c r="C645" s="343"/>
      <c r="D645" s="343"/>
      <c r="E645" s="336"/>
      <c r="F645" s="337"/>
      <c r="G645" s="338"/>
      <c r="H645" s="364"/>
      <c r="I645" s="340"/>
      <c r="J645" s="341"/>
      <c r="K645" s="342"/>
      <c r="L645" s="334"/>
      <c r="N645" s="312"/>
    </row>
    <row r="646" spans="2:14" x14ac:dyDescent="0.2">
      <c r="B646" s="477"/>
      <c r="C646" s="335"/>
      <c r="D646" s="352"/>
      <c r="E646" s="336"/>
      <c r="F646" s="337"/>
      <c r="G646" s="338"/>
      <c r="H646" s="364"/>
      <c r="I646" s="340"/>
      <c r="J646" s="341"/>
      <c r="K646" s="342"/>
      <c r="L646" s="334"/>
      <c r="N646" s="312"/>
    </row>
    <row r="647" spans="2:14" x14ac:dyDescent="0.2">
      <c r="B647" s="477"/>
      <c r="C647" s="335"/>
      <c r="D647" s="352"/>
      <c r="E647" s="336"/>
      <c r="F647" s="337"/>
      <c r="G647" s="338"/>
      <c r="H647" s="364"/>
      <c r="I647" s="340"/>
      <c r="J647" s="341"/>
      <c r="K647" s="342"/>
      <c r="L647" s="334"/>
      <c r="N647" s="312"/>
    </row>
    <row r="648" spans="2:14" ht="15.75" x14ac:dyDescent="0.25">
      <c r="B648" s="474"/>
      <c r="C648" s="119">
        <v>2020110404</v>
      </c>
      <c r="D648" s="119" t="s">
        <v>74</v>
      </c>
      <c r="E648" s="121">
        <f>'PROYECCION 2021'!C55</f>
        <v>52000000</v>
      </c>
      <c r="F648" s="122">
        <f>SUM(F649:F659)</f>
        <v>0</v>
      </c>
      <c r="G648" s="122">
        <f>SUM(G649:G663)</f>
        <v>0</v>
      </c>
      <c r="H648" s="122">
        <f>SUM(H649:H663)</f>
        <v>0</v>
      </c>
      <c r="I648" s="123">
        <f>ROUND((E648+F648+G648-H648),0)</f>
        <v>52000000</v>
      </c>
      <c r="J648" s="223">
        <f>SUM(J649:J663)</f>
        <v>34752201</v>
      </c>
      <c r="K648" s="141">
        <f>I648-J648</f>
        <v>17247799</v>
      </c>
      <c r="L648" s="334"/>
      <c r="N648" s="312"/>
    </row>
    <row r="649" spans="2:14" x14ac:dyDescent="0.2">
      <c r="B649" s="475">
        <v>44224</v>
      </c>
      <c r="C649" s="335"/>
      <c r="D649" s="146" t="s">
        <v>193</v>
      </c>
      <c r="E649" s="336"/>
      <c r="F649" s="337"/>
      <c r="G649" s="338"/>
      <c r="H649" s="364"/>
      <c r="I649" s="340"/>
      <c r="J649" s="345">
        <v>4521481</v>
      </c>
      <c r="K649" s="349"/>
      <c r="L649" s="146"/>
      <c r="N649" s="312"/>
    </row>
    <row r="650" spans="2:14" x14ac:dyDescent="0.2">
      <c r="B650" s="475">
        <v>44256</v>
      </c>
      <c r="C650" s="335"/>
      <c r="D650" s="146" t="s">
        <v>249</v>
      </c>
      <c r="E650" s="336"/>
      <c r="F650" s="337"/>
      <c r="G650" s="338"/>
      <c r="H650" s="364"/>
      <c r="I650" s="340"/>
      <c r="J650" s="345">
        <v>4559032</v>
      </c>
      <c r="K650" s="349"/>
      <c r="L650" s="146"/>
      <c r="N650" s="312"/>
    </row>
    <row r="651" spans="2:14" x14ac:dyDescent="0.2">
      <c r="B651" s="478">
        <v>44281</v>
      </c>
      <c r="C651" s="357"/>
      <c r="D651" s="357" t="s">
        <v>267</v>
      </c>
      <c r="E651" s="336"/>
      <c r="F651" s="337"/>
      <c r="G651" s="338"/>
      <c r="H651" s="364"/>
      <c r="I651" s="340"/>
      <c r="J651" s="362">
        <v>5844589</v>
      </c>
      <c r="K651" s="349"/>
      <c r="L651" s="146"/>
      <c r="N651" s="312"/>
    </row>
    <row r="652" spans="2:14" x14ac:dyDescent="0.2">
      <c r="B652" s="597">
        <v>44312</v>
      </c>
      <c r="C652" s="357"/>
      <c r="D652" s="357" t="s">
        <v>281</v>
      </c>
      <c r="E652" s="336"/>
      <c r="F652" s="337"/>
      <c r="G652" s="338"/>
      <c r="H652" s="364"/>
      <c r="I652" s="340"/>
      <c r="J652" s="362">
        <v>4965237</v>
      </c>
      <c r="K652" s="349"/>
      <c r="L652" s="146"/>
      <c r="N652" s="312"/>
    </row>
    <row r="653" spans="2:14" x14ac:dyDescent="0.2">
      <c r="B653" s="597">
        <v>44349</v>
      </c>
      <c r="C653" s="357"/>
      <c r="D653" s="598" t="s">
        <v>299</v>
      </c>
      <c r="E653" s="336"/>
      <c r="F653" s="337"/>
      <c r="G653" s="338"/>
      <c r="H653" s="364"/>
      <c r="I653" s="340"/>
      <c r="J653" s="362">
        <v>4965237</v>
      </c>
      <c r="K653" s="349"/>
      <c r="L653" s="146"/>
      <c r="N653" s="601"/>
    </row>
    <row r="654" spans="2:14" ht="13.5" customHeight="1" x14ac:dyDescent="0.2">
      <c r="B654" s="478">
        <v>44371</v>
      </c>
      <c r="C654" s="357"/>
      <c r="D654" s="357" t="s">
        <v>313</v>
      </c>
      <c r="E654" s="336"/>
      <c r="F654" s="337"/>
      <c r="G654" s="338"/>
      <c r="H654" s="364"/>
      <c r="I654" s="340"/>
      <c r="J654" s="362">
        <v>4931388</v>
      </c>
      <c r="K654" s="349"/>
      <c r="L654" s="146"/>
      <c r="N654" s="312"/>
    </row>
    <row r="655" spans="2:14" x14ac:dyDescent="0.2">
      <c r="B655" s="478">
        <v>44404</v>
      </c>
      <c r="C655" s="357"/>
      <c r="D655" s="357" t="s">
        <v>321</v>
      </c>
      <c r="E655" s="336"/>
      <c r="F655" s="337"/>
      <c r="G655" s="338"/>
      <c r="H655" s="364"/>
      <c r="I655" s="340"/>
      <c r="J655" s="362">
        <v>4965237</v>
      </c>
      <c r="K655" s="349"/>
      <c r="L655" s="146"/>
      <c r="N655" s="312"/>
    </row>
    <row r="656" spans="2:14" x14ac:dyDescent="0.2">
      <c r="B656" s="597"/>
      <c r="C656" s="357"/>
      <c r="D656" s="358"/>
      <c r="E656" s="336"/>
      <c r="F656" s="337"/>
      <c r="G656" s="338"/>
      <c r="H656" s="364"/>
      <c r="I656" s="340"/>
      <c r="J656" s="345"/>
      <c r="K656" s="349"/>
      <c r="L656" s="146"/>
      <c r="N656" s="312"/>
    </row>
    <row r="657" spans="2:14" x14ac:dyDescent="0.2">
      <c r="B657" s="475"/>
      <c r="C657" s="335"/>
      <c r="D657" s="352"/>
      <c r="E657" s="336"/>
      <c r="F657" s="337"/>
      <c r="G657" s="338"/>
      <c r="H657" s="364"/>
      <c r="I657" s="340"/>
      <c r="J657" s="345"/>
      <c r="K657" s="349"/>
      <c r="L657" s="146"/>
      <c r="N657" s="312"/>
    </row>
    <row r="658" spans="2:14" x14ac:dyDescent="0.2">
      <c r="B658" s="476"/>
      <c r="C658" s="343"/>
      <c r="D658" s="343"/>
      <c r="E658" s="336"/>
      <c r="F658" s="337"/>
      <c r="G658" s="338"/>
      <c r="H658" s="364"/>
      <c r="I658" s="340"/>
      <c r="J658" s="345"/>
      <c r="K658" s="349"/>
      <c r="L658" s="146"/>
      <c r="N658" s="312"/>
    </row>
    <row r="659" spans="2:14" x14ac:dyDescent="0.2">
      <c r="B659" s="475"/>
      <c r="C659" s="403"/>
      <c r="D659" s="146"/>
      <c r="E659" s="336"/>
      <c r="F659" s="337"/>
      <c r="G659" s="338"/>
      <c r="H659" s="364"/>
      <c r="I659" s="340"/>
      <c r="J659" s="345"/>
      <c r="K659" s="349"/>
      <c r="L659" s="146"/>
      <c r="N659" s="312"/>
    </row>
    <row r="660" spans="2:14" x14ac:dyDescent="0.2">
      <c r="B660" s="476"/>
      <c r="C660" s="343"/>
      <c r="D660" s="343"/>
      <c r="E660" s="336"/>
      <c r="F660" s="337"/>
      <c r="G660" s="338"/>
      <c r="H660" s="364"/>
      <c r="I660" s="340"/>
      <c r="J660" s="345"/>
      <c r="K660" s="349"/>
      <c r="L660" s="351"/>
      <c r="N660" s="312"/>
    </row>
    <row r="661" spans="2:14" x14ac:dyDescent="0.2">
      <c r="B661" s="477"/>
      <c r="C661" s="335"/>
      <c r="D661" s="352"/>
      <c r="E661" s="336"/>
      <c r="F661" s="337"/>
      <c r="G661" s="338"/>
      <c r="H661" s="364"/>
      <c r="I661" s="340"/>
      <c r="J661" s="345"/>
      <c r="K661" s="349"/>
      <c r="L661" s="146"/>
      <c r="N661" s="312"/>
    </row>
    <row r="662" spans="2:14" x14ac:dyDescent="0.2">
      <c r="B662" s="477"/>
      <c r="C662" s="335"/>
      <c r="D662" s="352"/>
      <c r="E662" s="336"/>
      <c r="F662" s="337"/>
      <c r="G662" s="338"/>
      <c r="H662" s="364"/>
      <c r="I662" s="340"/>
      <c r="J662" s="345"/>
      <c r="K662" s="349"/>
      <c r="L662" s="146"/>
      <c r="N662" s="312"/>
    </row>
    <row r="663" spans="2:14" x14ac:dyDescent="0.2">
      <c r="B663" s="477"/>
      <c r="C663" s="335"/>
      <c r="D663" s="352"/>
      <c r="E663" s="336"/>
      <c r="F663" s="337"/>
      <c r="G663" s="338"/>
      <c r="H663" s="364"/>
      <c r="I663" s="340"/>
      <c r="J663" s="341"/>
      <c r="K663" s="342"/>
      <c r="L663" s="334"/>
      <c r="N663" s="312"/>
    </row>
    <row r="664" spans="2:14" ht="15.75" x14ac:dyDescent="0.25">
      <c r="B664" s="474"/>
      <c r="C664" s="119">
        <v>2020110405</v>
      </c>
      <c r="D664" s="119" t="s">
        <v>84</v>
      </c>
      <c r="E664" s="121">
        <f>'PROYECCION 2021'!C56</f>
        <v>27000000</v>
      </c>
      <c r="F664" s="122">
        <f>SUM(F665:F679)</f>
        <v>0</v>
      </c>
      <c r="G664" s="122">
        <f>SUM(G665:G679)</f>
        <v>0</v>
      </c>
      <c r="H664" s="122">
        <f>SUM(H665:H679)</f>
        <v>0</v>
      </c>
      <c r="I664" s="123">
        <f>ROUND((E664+F664+G664-H664),0)</f>
        <v>27000000</v>
      </c>
      <c r="J664" s="223">
        <f>SUM(J665:J679)</f>
        <v>13540800</v>
      </c>
      <c r="K664" s="141">
        <f>I664-J664</f>
        <v>13459200</v>
      </c>
      <c r="L664" s="334"/>
      <c r="N664" s="312"/>
    </row>
    <row r="665" spans="2:14" x14ac:dyDescent="0.2">
      <c r="B665" s="475">
        <v>44224</v>
      </c>
      <c r="C665" s="335"/>
      <c r="D665" s="146" t="s">
        <v>193</v>
      </c>
      <c r="E665" s="336"/>
      <c r="F665" s="337"/>
      <c r="G665" s="338"/>
      <c r="H665" s="364"/>
      <c r="I665" s="340"/>
      <c r="J665" s="345">
        <v>1924900</v>
      </c>
      <c r="K665" s="342"/>
      <c r="L665" s="334"/>
      <c r="N665" s="312"/>
    </row>
    <row r="666" spans="2:14" x14ac:dyDescent="0.2">
      <c r="B666" s="475">
        <v>44256</v>
      </c>
      <c r="C666" s="335"/>
      <c r="D666" s="146" t="s">
        <v>249</v>
      </c>
      <c r="E666" s="336"/>
      <c r="F666" s="337"/>
      <c r="G666" s="338"/>
      <c r="H666" s="364"/>
      <c r="I666" s="340"/>
      <c r="J666" s="345">
        <v>1757800</v>
      </c>
      <c r="K666" s="342"/>
      <c r="L666" s="334"/>
      <c r="N666" s="312"/>
    </row>
    <row r="667" spans="2:14" x14ac:dyDescent="0.2">
      <c r="B667" s="478">
        <v>44281</v>
      </c>
      <c r="C667" s="357"/>
      <c r="D667" s="357" t="s">
        <v>267</v>
      </c>
      <c r="E667" s="336"/>
      <c r="F667" s="337"/>
      <c r="G667" s="338"/>
      <c r="H667" s="364"/>
      <c r="I667" s="340"/>
      <c r="J667" s="362">
        <v>2019900</v>
      </c>
      <c r="K667" s="342"/>
      <c r="L667" s="334"/>
      <c r="N667" s="312"/>
    </row>
    <row r="668" spans="2:14" x14ac:dyDescent="0.2">
      <c r="B668" s="597">
        <v>44312</v>
      </c>
      <c r="C668" s="357"/>
      <c r="D668" s="357" t="s">
        <v>281</v>
      </c>
      <c r="E668" s="336"/>
      <c r="F668" s="337"/>
      <c r="G668" s="338"/>
      <c r="H668" s="364"/>
      <c r="I668" s="340"/>
      <c r="J668" s="362">
        <v>1916500</v>
      </c>
      <c r="K668" s="342"/>
      <c r="L668" s="334"/>
      <c r="N668" s="312"/>
    </row>
    <row r="669" spans="2:14" x14ac:dyDescent="0.2">
      <c r="B669" s="597">
        <v>44349</v>
      </c>
      <c r="C669" s="357"/>
      <c r="D669" s="598" t="s">
        <v>299</v>
      </c>
      <c r="E669" s="336"/>
      <c r="F669" s="337"/>
      <c r="G669" s="338"/>
      <c r="H669" s="364"/>
      <c r="I669" s="340"/>
      <c r="J669" s="362">
        <v>2066600</v>
      </c>
      <c r="K669" s="342"/>
      <c r="L669" s="334"/>
      <c r="N669" s="625"/>
    </row>
    <row r="670" spans="2:14" x14ac:dyDescent="0.2">
      <c r="B670" s="478">
        <v>44371</v>
      </c>
      <c r="C670" s="357"/>
      <c r="D670" s="357" t="s">
        <v>312</v>
      </c>
      <c r="E670" s="336"/>
      <c r="F670" s="337"/>
      <c r="G670" s="338"/>
      <c r="H670" s="364"/>
      <c r="I670" s="340"/>
      <c r="J670" s="362">
        <v>34900</v>
      </c>
      <c r="K670" s="342"/>
      <c r="L670" s="334"/>
      <c r="N670" s="312"/>
    </row>
    <row r="671" spans="2:14" x14ac:dyDescent="0.2">
      <c r="B671" s="478">
        <v>44371</v>
      </c>
      <c r="C671" s="357"/>
      <c r="D671" s="357" t="s">
        <v>313</v>
      </c>
      <c r="E671" s="336"/>
      <c r="F671" s="337"/>
      <c r="G671" s="338"/>
      <c r="H671" s="364"/>
      <c r="I671" s="340"/>
      <c r="J671" s="362">
        <v>1942800</v>
      </c>
      <c r="K671" s="342"/>
      <c r="L671" s="334"/>
      <c r="N671" s="312"/>
    </row>
    <row r="672" spans="2:14" x14ac:dyDescent="0.2">
      <c r="B672" s="478">
        <v>44404</v>
      </c>
      <c r="C672" s="357"/>
      <c r="D672" s="357" t="s">
        <v>321</v>
      </c>
      <c r="E672" s="336"/>
      <c r="F672" s="337"/>
      <c r="G672" s="338"/>
      <c r="H672" s="364"/>
      <c r="I672" s="340"/>
      <c r="J672" s="362">
        <v>1877400</v>
      </c>
      <c r="K672" s="342"/>
      <c r="L672" s="334"/>
      <c r="N672" s="312"/>
    </row>
    <row r="673" spans="2:14" x14ac:dyDescent="0.2">
      <c r="B673" s="475"/>
      <c r="C673" s="335"/>
      <c r="D673" s="352"/>
      <c r="E673" s="336"/>
      <c r="F673" s="337"/>
      <c r="G673" s="338"/>
      <c r="H673" s="364"/>
      <c r="I673" s="340"/>
      <c r="J673" s="362"/>
      <c r="K673" s="342"/>
      <c r="L673" s="334"/>
      <c r="N673" s="312"/>
    </row>
    <row r="674" spans="2:14" x14ac:dyDescent="0.2">
      <c r="B674" s="475"/>
      <c r="C674" s="335"/>
      <c r="D674" s="352"/>
      <c r="E674" s="336"/>
      <c r="F674" s="337"/>
      <c r="G674" s="338"/>
      <c r="H674" s="364"/>
      <c r="I674" s="340"/>
      <c r="J674" s="345"/>
      <c r="K674" s="342"/>
      <c r="L674" s="334"/>
      <c r="N674" s="312"/>
    </row>
    <row r="675" spans="2:14" x14ac:dyDescent="0.2">
      <c r="B675" s="475"/>
      <c r="C675" s="403"/>
      <c r="D675" s="146"/>
      <c r="E675" s="336"/>
      <c r="F675" s="337"/>
      <c r="G675" s="338"/>
      <c r="H675" s="364"/>
      <c r="I675" s="340"/>
      <c r="J675" s="345"/>
      <c r="K675" s="342"/>
      <c r="L675" s="334"/>
      <c r="N675" s="312"/>
    </row>
    <row r="676" spans="2:14" x14ac:dyDescent="0.2">
      <c r="B676" s="476"/>
      <c r="C676" s="343"/>
      <c r="D676" s="343"/>
      <c r="E676" s="336"/>
      <c r="F676" s="337"/>
      <c r="G676" s="338"/>
      <c r="H676" s="364"/>
      <c r="I676" s="340"/>
      <c r="J676" s="345"/>
      <c r="K676" s="342"/>
      <c r="L676" s="334"/>
      <c r="N676" s="312"/>
    </row>
    <row r="677" spans="2:14" x14ac:dyDescent="0.2">
      <c r="B677" s="477"/>
      <c r="C677" s="335"/>
      <c r="D677" s="352"/>
      <c r="E677" s="336"/>
      <c r="F677" s="337"/>
      <c r="G677" s="338"/>
      <c r="H677" s="364"/>
      <c r="I677" s="340"/>
      <c r="J677" s="345"/>
      <c r="K677" s="342"/>
      <c r="L677" s="334"/>
      <c r="N677" s="312"/>
    </row>
    <row r="678" spans="2:14" x14ac:dyDescent="0.2">
      <c r="B678" s="477"/>
      <c r="C678" s="335"/>
      <c r="D678" s="352"/>
      <c r="E678" s="336"/>
      <c r="F678" s="337"/>
      <c r="G678" s="338"/>
      <c r="H678" s="364"/>
      <c r="I678" s="340"/>
      <c r="J678" s="341"/>
      <c r="K678" s="342"/>
      <c r="L678" s="334"/>
      <c r="N678" s="312"/>
    </row>
    <row r="679" spans="2:14" x14ac:dyDescent="0.2">
      <c r="B679" s="476"/>
      <c r="C679" s="343"/>
      <c r="D679" s="343"/>
      <c r="E679" s="336"/>
      <c r="F679" s="337"/>
      <c r="G679" s="338"/>
      <c r="H679" s="364"/>
      <c r="I679" s="340"/>
      <c r="J679" s="341"/>
      <c r="K679" s="342"/>
      <c r="L679" s="334"/>
      <c r="N679" s="312"/>
    </row>
    <row r="680" spans="2:14" ht="15.75" x14ac:dyDescent="0.25">
      <c r="B680" s="474"/>
      <c r="C680" s="119">
        <v>2020110406</v>
      </c>
      <c r="D680" s="119" t="s">
        <v>86</v>
      </c>
      <c r="E680" s="121">
        <f>'PROYECCION 2021'!C57</f>
        <v>23000000</v>
      </c>
      <c r="F680" s="122">
        <f>SUM(F681:F695)</f>
        <v>0</v>
      </c>
      <c r="G680" s="122">
        <f>SUM(G681:G695)</f>
        <v>0</v>
      </c>
      <c r="H680" s="122">
        <f>SUM(H681:H695)</f>
        <v>0</v>
      </c>
      <c r="I680" s="123">
        <f>ROUND((E680+F680+G680-H680),0)</f>
        <v>23000000</v>
      </c>
      <c r="J680" s="223">
        <f>SUM(J681:J695)</f>
        <v>10155300</v>
      </c>
      <c r="K680" s="141">
        <f>I680-J680</f>
        <v>12844700</v>
      </c>
      <c r="L680" s="334"/>
      <c r="N680" s="312"/>
    </row>
    <row r="681" spans="2:14" x14ac:dyDescent="0.2">
      <c r="B681" s="475">
        <v>44224</v>
      </c>
      <c r="C681" s="335"/>
      <c r="D681" s="146" t="s">
        <v>193</v>
      </c>
      <c r="E681" s="336"/>
      <c r="F681" s="337"/>
      <c r="G681" s="338"/>
      <c r="H681" s="364"/>
      <c r="I681" s="340"/>
      <c r="J681" s="345">
        <v>1443700</v>
      </c>
      <c r="K681" s="349"/>
      <c r="L681" s="334"/>
      <c r="N681" s="312"/>
    </row>
    <row r="682" spans="2:14" x14ac:dyDescent="0.2">
      <c r="B682" s="475">
        <v>44256</v>
      </c>
      <c r="C682" s="335"/>
      <c r="D682" s="146" t="s">
        <v>249</v>
      </c>
      <c r="E682" s="336"/>
      <c r="F682" s="337"/>
      <c r="G682" s="338"/>
      <c r="H682" s="364"/>
      <c r="I682" s="340"/>
      <c r="J682" s="345">
        <v>1318200</v>
      </c>
      <c r="K682" s="349"/>
      <c r="L682" s="334"/>
      <c r="N682" s="312"/>
    </row>
    <row r="683" spans="2:14" x14ac:dyDescent="0.2">
      <c r="B683" s="478">
        <v>44281</v>
      </c>
      <c r="C683" s="357"/>
      <c r="D683" s="357" t="s">
        <v>267</v>
      </c>
      <c r="E683" s="336"/>
      <c r="F683" s="337"/>
      <c r="G683" s="338"/>
      <c r="H683" s="364"/>
      <c r="I683" s="340"/>
      <c r="J683" s="345">
        <v>1514900</v>
      </c>
      <c r="K683" s="349"/>
      <c r="L683" s="334"/>
      <c r="N683" s="312"/>
    </row>
    <row r="684" spans="2:14" x14ac:dyDescent="0.2">
      <c r="B684" s="597">
        <v>44312</v>
      </c>
      <c r="C684" s="357"/>
      <c r="D684" s="357" t="s">
        <v>281</v>
      </c>
      <c r="E684" s="336"/>
      <c r="F684" s="337"/>
      <c r="G684" s="338"/>
      <c r="H684" s="364"/>
      <c r="I684" s="340"/>
      <c r="J684" s="362">
        <v>1437400</v>
      </c>
      <c r="K684" s="349"/>
      <c r="L684" s="334"/>
      <c r="N684" s="312"/>
    </row>
    <row r="685" spans="2:14" x14ac:dyDescent="0.2">
      <c r="B685" s="597">
        <v>44349</v>
      </c>
      <c r="C685" s="357"/>
      <c r="D685" s="598" t="s">
        <v>299</v>
      </c>
      <c r="E685" s="336"/>
      <c r="F685" s="337"/>
      <c r="G685" s="338"/>
      <c r="H685" s="364"/>
      <c r="I685" s="340"/>
      <c r="J685" s="362">
        <v>1549900</v>
      </c>
      <c r="K685" s="349"/>
      <c r="L685" s="334"/>
      <c r="N685" s="601"/>
    </row>
    <row r="686" spans="2:14" x14ac:dyDescent="0.2">
      <c r="B686" s="478">
        <v>44371</v>
      </c>
      <c r="C686" s="357"/>
      <c r="D686" s="357" t="s">
        <v>312</v>
      </c>
      <c r="E686" s="336"/>
      <c r="F686" s="337"/>
      <c r="G686" s="338"/>
      <c r="H686" s="364"/>
      <c r="I686" s="340"/>
      <c r="J686" s="362">
        <v>26200</v>
      </c>
      <c r="K686" s="349"/>
      <c r="L686" s="334"/>
      <c r="N686" s="312"/>
    </row>
    <row r="687" spans="2:14" x14ac:dyDescent="0.2">
      <c r="B687" s="478">
        <v>44371</v>
      </c>
      <c r="C687" s="357"/>
      <c r="D687" s="357" t="s">
        <v>313</v>
      </c>
      <c r="E687" s="336"/>
      <c r="F687" s="337"/>
      <c r="G687" s="338"/>
      <c r="H687" s="364"/>
      <c r="I687" s="340"/>
      <c r="J687" s="362">
        <v>1457000</v>
      </c>
      <c r="K687" s="349"/>
      <c r="L687" s="334"/>
      <c r="N687" s="312"/>
    </row>
    <row r="688" spans="2:14" x14ac:dyDescent="0.2">
      <c r="B688" s="478">
        <v>44404</v>
      </c>
      <c r="C688" s="357"/>
      <c r="D688" s="357" t="s">
        <v>321</v>
      </c>
      <c r="E688" s="336"/>
      <c r="F688" s="337"/>
      <c r="G688" s="338"/>
      <c r="H688" s="364"/>
      <c r="I688" s="340"/>
      <c r="J688" s="362">
        <v>1408000</v>
      </c>
      <c r="K688" s="349"/>
      <c r="L688" s="334"/>
      <c r="N688" s="312"/>
    </row>
    <row r="689" spans="2:14" x14ac:dyDescent="0.2">
      <c r="B689" s="597"/>
      <c r="C689" s="357"/>
      <c r="D689" s="358"/>
      <c r="E689" s="336"/>
      <c r="F689" s="337"/>
      <c r="G689" s="338"/>
      <c r="H689" s="364"/>
      <c r="I689" s="340"/>
      <c r="J689" s="345"/>
      <c r="K689" s="349"/>
      <c r="L689" s="334"/>
      <c r="N689" s="312"/>
    </row>
    <row r="690" spans="2:14" x14ac:dyDescent="0.2">
      <c r="B690" s="475"/>
      <c r="C690" s="335"/>
      <c r="D690" s="352"/>
      <c r="E690" s="336"/>
      <c r="F690" s="337"/>
      <c r="G690" s="338"/>
      <c r="H690" s="364"/>
      <c r="I690" s="340"/>
      <c r="J690" s="345"/>
      <c r="K690" s="349"/>
      <c r="L690" s="334"/>
      <c r="N690" s="312"/>
    </row>
    <row r="691" spans="2:14" x14ac:dyDescent="0.2">
      <c r="B691" s="475"/>
      <c r="C691" s="403"/>
      <c r="D691" s="146"/>
      <c r="E691" s="336"/>
      <c r="F691" s="337"/>
      <c r="G691" s="338"/>
      <c r="H691" s="364"/>
      <c r="I691" s="340"/>
      <c r="J691" s="345"/>
      <c r="K691" s="349"/>
      <c r="L691" s="334"/>
      <c r="N691" s="312"/>
    </row>
    <row r="692" spans="2:14" x14ac:dyDescent="0.2">
      <c r="B692" s="476"/>
      <c r="C692" s="343"/>
      <c r="D692" s="343"/>
      <c r="E692" s="336"/>
      <c r="F692" s="337"/>
      <c r="G692" s="338"/>
      <c r="H692" s="364"/>
      <c r="I692" s="340"/>
      <c r="J692" s="345"/>
      <c r="K692" s="349"/>
      <c r="L692" s="334"/>
      <c r="N692" s="312"/>
    </row>
    <row r="693" spans="2:14" x14ac:dyDescent="0.2">
      <c r="B693" s="477"/>
      <c r="C693" s="335"/>
      <c r="D693" s="352"/>
      <c r="E693" s="336"/>
      <c r="F693" s="337"/>
      <c r="G693" s="338"/>
      <c r="H693" s="364"/>
      <c r="I693" s="340"/>
      <c r="J693" s="345"/>
      <c r="K693" s="349"/>
      <c r="L693" s="334"/>
      <c r="N693" s="312"/>
    </row>
    <row r="694" spans="2:14" x14ac:dyDescent="0.2">
      <c r="B694" s="477"/>
      <c r="C694" s="335"/>
      <c r="D694" s="352"/>
      <c r="E694" s="336"/>
      <c r="F694" s="337"/>
      <c r="G694" s="338"/>
      <c r="H694" s="364"/>
      <c r="I694" s="340"/>
      <c r="J694" s="345"/>
      <c r="K694" s="349"/>
      <c r="L694" s="334"/>
      <c r="N694" s="312"/>
    </row>
    <row r="695" spans="2:14" x14ac:dyDescent="0.2">
      <c r="B695" s="476"/>
      <c r="C695" s="343"/>
      <c r="D695" s="343"/>
      <c r="E695" s="336"/>
      <c r="F695" s="337"/>
      <c r="G695" s="338"/>
      <c r="H695" s="364"/>
      <c r="I695" s="340"/>
      <c r="J695" s="341"/>
      <c r="K695" s="342"/>
      <c r="L695" s="334"/>
      <c r="N695" s="312"/>
    </row>
    <row r="696" spans="2:14" ht="15.75" x14ac:dyDescent="0.25">
      <c r="B696" s="474"/>
      <c r="C696" s="119">
        <v>2020110407</v>
      </c>
      <c r="D696" s="119" t="s">
        <v>88</v>
      </c>
      <c r="E696" s="121">
        <f>'PROYECCION 2021'!C58</f>
        <v>4000000</v>
      </c>
      <c r="F696" s="122">
        <f>SUM(F697:F710)</f>
        <v>0</v>
      </c>
      <c r="G696" s="122">
        <f>SUM(G697:G710)</f>
        <v>0</v>
      </c>
      <c r="H696" s="122">
        <f>SUM(H697:H710)</f>
        <v>0</v>
      </c>
      <c r="I696" s="123">
        <f>ROUND((E696+F696+G696-H696),0)</f>
        <v>4000000</v>
      </c>
      <c r="J696" s="223">
        <f>SUM(J697:J710)</f>
        <v>1695400</v>
      </c>
      <c r="K696" s="141">
        <f>I696-J696</f>
        <v>2304600</v>
      </c>
      <c r="L696" s="334"/>
      <c r="N696" s="312"/>
    </row>
    <row r="697" spans="2:14" x14ac:dyDescent="0.2">
      <c r="B697" s="475">
        <v>44224</v>
      </c>
      <c r="C697" s="335"/>
      <c r="D697" s="146" t="s">
        <v>193</v>
      </c>
      <c r="E697" s="336"/>
      <c r="F697" s="337"/>
      <c r="G697" s="338"/>
      <c r="H697" s="364"/>
      <c r="I697" s="340"/>
      <c r="J697" s="345">
        <v>241000</v>
      </c>
      <c r="K697" s="342"/>
      <c r="L697" s="334"/>
      <c r="N697" s="312"/>
    </row>
    <row r="698" spans="2:14" x14ac:dyDescent="0.2">
      <c r="B698" s="475">
        <v>44256</v>
      </c>
      <c r="C698" s="335"/>
      <c r="D698" s="146" t="s">
        <v>249</v>
      </c>
      <c r="E698" s="336"/>
      <c r="F698" s="337"/>
      <c r="G698" s="338"/>
      <c r="H698" s="364"/>
      <c r="I698" s="340"/>
      <c r="J698" s="345">
        <v>220100</v>
      </c>
      <c r="K698" s="342"/>
      <c r="L698" s="334"/>
      <c r="N698" s="312"/>
    </row>
    <row r="699" spans="2:14" x14ac:dyDescent="0.2">
      <c r="B699" s="478">
        <v>44281</v>
      </c>
      <c r="C699" s="357"/>
      <c r="D699" s="357" t="s">
        <v>267</v>
      </c>
      <c r="E699" s="336"/>
      <c r="F699" s="337"/>
      <c r="G699" s="338"/>
      <c r="H699" s="364"/>
      <c r="I699" s="340"/>
      <c r="J699" s="362">
        <v>253000</v>
      </c>
      <c r="K699" s="342"/>
      <c r="L699" s="334"/>
      <c r="N699" s="312"/>
    </row>
    <row r="700" spans="2:14" x14ac:dyDescent="0.2">
      <c r="B700" s="597">
        <v>44312</v>
      </c>
      <c r="C700" s="357"/>
      <c r="D700" s="357" t="s">
        <v>281</v>
      </c>
      <c r="E700" s="336"/>
      <c r="F700" s="337"/>
      <c r="G700" s="338"/>
      <c r="H700" s="364"/>
      <c r="I700" s="340"/>
      <c r="J700" s="362">
        <v>240000</v>
      </c>
      <c r="K700" s="342"/>
      <c r="L700" s="334"/>
      <c r="N700" s="312"/>
    </row>
    <row r="701" spans="2:14" x14ac:dyDescent="0.2">
      <c r="B701" s="597">
        <v>44349</v>
      </c>
      <c r="C701" s="357"/>
      <c r="D701" s="598" t="s">
        <v>299</v>
      </c>
      <c r="E701" s="336"/>
      <c r="F701" s="337"/>
      <c r="G701" s="338"/>
      <c r="H701" s="364"/>
      <c r="I701" s="340"/>
      <c r="J701" s="362">
        <v>258700</v>
      </c>
      <c r="K701" s="342"/>
      <c r="L701" s="334"/>
    </row>
    <row r="702" spans="2:14" x14ac:dyDescent="0.2">
      <c r="B702" s="478">
        <v>44371</v>
      </c>
      <c r="C702" s="357"/>
      <c r="D702" s="357" t="s">
        <v>312</v>
      </c>
      <c r="E702" s="336"/>
      <c r="F702" s="337"/>
      <c r="G702" s="338"/>
      <c r="H702" s="364"/>
      <c r="I702" s="340"/>
      <c r="J702" s="362">
        <v>4300</v>
      </c>
      <c r="K702" s="342"/>
      <c r="L702" s="334"/>
      <c r="N702" s="312"/>
    </row>
    <row r="703" spans="2:14" x14ac:dyDescent="0.2">
      <c r="B703" s="478">
        <v>44371</v>
      </c>
      <c r="C703" s="357"/>
      <c r="D703" s="357" t="s">
        <v>313</v>
      </c>
      <c r="E703" s="336"/>
      <c r="F703" s="337"/>
      <c r="G703" s="338"/>
      <c r="H703" s="364"/>
      <c r="I703" s="340"/>
      <c r="J703" s="362">
        <v>243200</v>
      </c>
      <c r="K703" s="342"/>
      <c r="L703" s="334"/>
      <c r="N703" s="312"/>
    </row>
    <row r="704" spans="2:14" x14ac:dyDescent="0.2">
      <c r="B704" s="478">
        <v>44404</v>
      </c>
      <c r="C704" s="357"/>
      <c r="D704" s="357" t="s">
        <v>321</v>
      </c>
      <c r="E704" s="336"/>
      <c r="F704" s="337"/>
      <c r="G704" s="338"/>
      <c r="H704" s="364"/>
      <c r="I704" s="340"/>
      <c r="J704" s="362">
        <v>235100</v>
      </c>
      <c r="K704" s="342"/>
      <c r="L704" s="334"/>
      <c r="N704" s="312"/>
    </row>
    <row r="705" spans="2:14" x14ac:dyDescent="0.2">
      <c r="B705" s="475"/>
      <c r="C705" s="335"/>
      <c r="D705" s="352"/>
      <c r="E705" s="336"/>
      <c r="F705" s="337"/>
      <c r="G705" s="338"/>
      <c r="H705" s="364"/>
      <c r="I705" s="340"/>
      <c r="J705" s="345"/>
      <c r="K705" s="342"/>
      <c r="L705" s="334"/>
      <c r="N705" s="312"/>
    </row>
    <row r="706" spans="2:14" x14ac:dyDescent="0.2">
      <c r="B706" s="475"/>
      <c r="C706" s="335"/>
      <c r="D706" s="352"/>
      <c r="E706" s="336"/>
      <c r="F706" s="337"/>
      <c r="G706" s="338"/>
      <c r="H706" s="364"/>
      <c r="I706" s="340"/>
      <c r="J706" s="345"/>
      <c r="K706" s="342"/>
      <c r="L706" s="334"/>
      <c r="N706" s="312"/>
    </row>
    <row r="707" spans="2:14" x14ac:dyDescent="0.2">
      <c r="B707" s="475"/>
      <c r="C707" s="403"/>
      <c r="D707" s="146"/>
      <c r="E707" s="336"/>
      <c r="F707" s="337"/>
      <c r="G707" s="338"/>
      <c r="H707" s="364"/>
      <c r="I707" s="340"/>
      <c r="J707" s="341"/>
      <c r="K707" s="342"/>
      <c r="L707" s="334"/>
      <c r="N707" s="312"/>
    </row>
    <row r="708" spans="2:14" x14ac:dyDescent="0.2">
      <c r="B708" s="476"/>
      <c r="C708" s="343"/>
      <c r="D708" s="343"/>
      <c r="E708" s="336"/>
      <c r="F708" s="337"/>
      <c r="G708" s="338"/>
      <c r="H708" s="364"/>
      <c r="I708" s="340"/>
      <c r="J708" s="341"/>
      <c r="K708" s="342"/>
      <c r="L708" s="334"/>
      <c r="N708" s="312"/>
    </row>
    <row r="709" spans="2:14" x14ac:dyDescent="0.2">
      <c r="B709" s="477"/>
      <c r="C709" s="335"/>
      <c r="D709" s="352"/>
      <c r="E709" s="336"/>
      <c r="F709" s="337"/>
      <c r="G709" s="338"/>
      <c r="H709" s="364"/>
      <c r="I709" s="340"/>
      <c r="J709" s="341"/>
      <c r="K709" s="342"/>
      <c r="L709" s="334"/>
      <c r="N709" s="312"/>
    </row>
    <row r="710" spans="2:14" x14ac:dyDescent="0.2">
      <c r="B710" s="477"/>
      <c r="C710" s="335"/>
      <c r="D710" s="352"/>
      <c r="E710" s="336"/>
      <c r="F710" s="337"/>
      <c r="G710" s="338"/>
      <c r="H710" s="364"/>
      <c r="I710" s="340"/>
      <c r="J710" s="341"/>
      <c r="K710" s="342"/>
      <c r="L710" s="334"/>
      <c r="N710" s="312"/>
    </row>
    <row r="711" spans="2:14" ht="15.75" x14ac:dyDescent="0.25">
      <c r="B711" s="474"/>
      <c r="C711" s="119">
        <v>2020110408</v>
      </c>
      <c r="D711" s="119" t="s">
        <v>90</v>
      </c>
      <c r="E711" s="121">
        <f>'PROYECCION 2021'!C59</f>
        <v>4000000</v>
      </c>
      <c r="F711" s="122">
        <f>SUM(F712:F730)</f>
        <v>0</v>
      </c>
      <c r="G711" s="122">
        <f>SUM(G712:G730)</f>
        <v>0</v>
      </c>
      <c r="H711" s="122">
        <f>SUM(H712:H730)</f>
        <v>0</v>
      </c>
      <c r="I711" s="123">
        <f>ROUND((E711+F711+G711-H711),0)</f>
        <v>4000000</v>
      </c>
      <c r="J711" s="223">
        <f>SUM(J712:J730)</f>
        <v>1695400</v>
      </c>
      <c r="K711" s="141">
        <f>I711-J711</f>
        <v>2304600</v>
      </c>
      <c r="L711" s="334"/>
      <c r="N711" s="312"/>
    </row>
    <row r="712" spans="2:14" x14ac:dyDescent="0.2">
      <c r="B712" s="475">
        <v>44224</v>
      </c>
      <c r="C712" s="335"/>
      <c r="D712" s="146" t="s">
        <v>193</v>
      </c>
      <c r="E712" s="336"/>
      <c r="F712" s="337"/>
      <c r="G712" s="338"/>
      <c r="H712" s="364"/>
      <c r="I712" s="340"/>
      <c r="J712" s="345">
        <v>241000</v>
      </c>
      <c r="K712" s="342"/>
      <c r="L712" s="334"/>
      <c r="N712" s="312"/>
    </row>
    <row r="713" spans="2:14" x14ac:dyDescent="0.2">
      <c r="B713" s="475">
        <v>44256</v>
      </c>
      <c r="C713" s="335"/>
      <c r="D713" s="146" t="s">
        <v>249</v>
      </c>
      <c r="E713" s="336"/>
      <c r="F713" s="337"/>
      <c r="G713" s="338"/>
      <c r="H713" s="364"/>
      <c r="I713" s="340"/>
      <c r="J713" s="345">
        <v>220100</v>
      </c>
      <c r="K713" s="342"/>
      <c r="L713" s="334"/>
      <c r="N713" s="312"/>
    </row>
    <row r="714" spans="2:14" x14ac:dyDescent="0.2">
      <c r="B714" s="478">
        <v>44281</v>
      </c>
      <c r="C714" s="357"/>
      <c r="D714" s="357" t="s">
        <v>267</v>
      </c>
      <c r="E714" s="336"/>
      <c r="F714" s="337"/>
      <c r="G714" s="338"/>
      <c r="H714" s="364"/>
      <c r="I714" s="340"/>
      <c r="J714" s="362">
        <v>253000</v>
      </c>
      <c r="K714" s="342"/>
      <c r="L714" s="334"/>
      <c r="N714" s="312"/>
    </row>
    <row r="715" spans="2:14" x14ac:dyDescent="0.2">
      <c r="B715" s="597">
        <v>44312</v>
      </c>
      <c r="C715" s="357"/>
      <c r="D715" s="357" t="s">
        <v>281</v>
      </c>
      <c r="E715" s="336"/>
      <c r="F715" s="337"/>
      <c r="G715" s="338"/>
      <c r="H715" s="364"/>
      <c r="I715" s="340"/>
      <c r="J715" s="362">
        <v>240000</v>
      </c>
      <c r="K715" s="342"/>
      <c r="L715" s="334"/>
      <c r="N715" s="312"/>
    </row>
    <row r="716" spans="2:14" x14ac:dyDescent="0.2">
      <c r="B716" s="597">
        <v>44349</v>
      </c>
      <c r="C716" s="357"/>
      <c r="D716" s="598" t="s">
        <v>299</v>
      </c>
      <c r="E716" s="336"/>
      <c r="F716" s="337"/>
      <c r="G716" s="338"/>
      <c r="H716" s="364"/>
      <c r="I716" s="340"/>
      <c r="J716" s="362">
        <v>258700</v>
      </c>
      <c r="K716" s="342"/>
      <c r="L716" s="334"/>
      <c r="N716" s="601"/>
    </row>
    <row r="717" spans="2:14" x14ac:dyDescent="0.2">
      <c r="B717" s="478">
        <v>44371</v>
      </c>
      <c r="C717" s="357"/>
      <c r="D717" s="357" t="s">
        <v>312</v>
      </c>
      <c r="E717" s="336"/>
      <c r="F717" s="337"/>
      <c r="G717" s="338"/>
      <c r="H717" s="364"/>
      <c r="I717" s="340"/>
      <c r="J717" s="362">
        <v>4300</v>
      </c>
      <c r="K717" s="342"/>
      <c r="L717" s="334"/>
      <c r="N717" s="312"/>
    </row>
    <row r="718" spans="2:14" x14ac:dyDescent="0.2">
      <c r="B718" s="478">
        <v>44371</v>
      </c>
      <c r="C718" s="357"/>
      <c r="D718" s="357" t="s">
        <v>313</v>
      </c>
      <c r="E718" s="336"/>
      <c r="F718" s="337"/>
      <c r="G718" s="338"/>
      <c r="H718" s="364"/>
      <c r="I718" s="340"/>
      <c r="J718" s="362">
        <v>243200</v>
      </c>
      <c r="K718" s="342"/>
      <c r="L718" s="334"/>
      <c r="N718" s="312"/>
    </row>
    <row r="719" spans="2:14" x14ac:dyDescent="0.2">
      <c r="B719" s="478">
        <v>44404</v>
      </c>
      <c r="C719" s="357"/>
      <c r="D719" s="357" t="s">
        <v>321</v>
      </c>
      <c r="E719" s="336"/>
      <c r="F719" s="337"/>
      <c r="G719" s="338"/>
      <c r="H719" s="364"/>
      <c r="I719" s="340"/>
      <c r="J719" s="362">
        <v>235100</v>
      </c>
      <c r="K719" s="342"/>
      <c r="L719" s="334"/>
      <c r="N719" s="312"/>
    </row>
    <row r="720" spans="2:14" x14ac:dyDescent="0.2">
      <c r="B720" s="475"/>
      <c r="C720" s="335"/>
      <c r="D720" s="352"/>
      <c r="E720" s="336"/>
      <c r="F720" s="337"/>
      <c r="G720" s="338"/>
      <c r="H720" s="364"/>
      <c r="I720" s="340"/>
      <c r="J720" s="362"/>
      <c r="K720" s="342"/>
      <c r="L720" s="334"/>
      <c r="N720" s="312"/>
    </row>
    <row r="721" spans="2:14" x14ac:dyDescent="0.2">
      <c r="B721" s="475"/>
      <c r="C721" s="335"/>
      <c r="D721" s="352"/>
      <c r="E721" s="336"/>
      <c r="F721" s="337"/>
      <c r="G721" s="338"/>
      <c r="H721" s="364"/>
      <c r="I721" s="340"/>
      <c r="J721" s="362"/>
      <c r="K721" s="342"/>
      <c r="L721" s="334"/>
      <c r="N721" s="312"/>
    </row>
    <row r="722" spans="2:14" x14ac:dyDescent="0.2">
      <c r="B722" s="475"/>
      <c r="C722" s="403"/>
      <c r="D722" s="146"/>
      <c r="E722" s="336"/>
      <c r="F722" s="337"/>
      <c r="G722" s="338"/>
      <c r="H722" s="364"/>
      <c r="I722" s="340"/>
      <c r="J722" s="345"/>
      <c r="K722" s="342"/>
      <c r="L722" s="334"/>
      <c r="N722" s="312"/>
    </row>
    <row r="723" spans="2:14" x14ac:dyDescent="0.2">
      <c r="B723" s="476"/>
      <c r="C723" s="343"/>
      <c r="D723" s="343"/>
      <c r="E723" s="336"/>
      <c r="F723" s="337"/>
      <c r="G723" s="338"/>
      <c r="H723" s="364"/>
      <c r="I723" s="340"/>
      <c r="J723" s="345"/>
      <c r="K723" s="342"/>
      <c r="L723" s="334"/>
      <c r="N723" s="312"/>
    </row>
    <row r="724" spans="2:14" x14ac:dyDescent="0.2">
      <c r="B724" s="477"/>
      <c r="C724" s="335"/>
      <c r="D724" s="352"/>
      <c r="E724" s="336"/>
      <c r="F724" s="337"/>
      <c r="G724" s="338"/>
      <c r="H724" s="364"/>
      <c r="I724" s="340"/>
      <c r="J724" s="341"/>
      <c r="K724" s="342"/>
      <c r="L724" s="334"/>
      <c r="N724" s="312"/>
    </row>
    <row r="725" spans="2:14" x14ac:dyDescent="0.2">
      <c r="B725" s="477"/>
      <c r="C725" s="335"/>
      <c r="D725" s="352"/>
      <c r="E725" s="336"/>
      <c r="F725" s="337"/>
      <c r="G725" s="338"/>
      <c r="H725" s="364"/>
      <c r="I725" s="340"/>
      <c r="J725" s="341"/>
      <c r="K725" s="342"/>
      <c r="L725" s="334"/>
      <c r="N725" s="312"/>
    </row>
    <row r="726" spans="2:14" x14ac:dyDescent="0.2">
      <c r="B726" s="476"/>
      <c r="C726" s="343"/>
      <c r="D726" s="343"/>
      <c r="E726" s="336"/>
      <c r="F726" s="337"/>
      <c r="G726" s="338"/>
      <c r="H726" s="364"/>
      <c r="I726" s="340"/>
      <c r="J726" s="341"/>
      <c r="K726" s="342"/>
      <c r="L726" s="334"/>
      <c r="N726" s="312"/>
    </row>
    <row r="727" spans="2:14" x14ac:dyDescent="0.2">
      <c r="B727" s="476"/>
      <c r="C727" s="343"/>
      <c r="D727" s="343"/>
      <c r="E727" s="336"/>
      <c r="F727" s="337"/>
      <c r="G727" s="338"/>
      <c r="H727" s="364"/>
      <c r="I727" s="340"/>
      <c r="J727" s="341"/>
      <c r="K727" s="342"/>
      <c r="L727" s="334"/>
      <c r="N727" s="312"/>
    </row>
    <row r="728" spans="2:14" x14ac:dyDescent="0.2">
      <c r="B728" s="476"/>
      <c r="C728" s="343"/>
      <c r="D728" s="343"/>
      <c r="E728" s="336"/>
      <c r="F728" s="337"/>
      <c r="G728" s="338"/>
      <c r="H728" s="364"/>
      <c r="I728" s="340"/>
      <c r="J728" s="341"/>
      <c r="K728" s="342"/>
      <c r="L728" s="334"/>
      <c r="N728" s="312"/>
    </row>
    <row r="729" spans="2:14" x14ac:dyDescent="0.2">
      <c r="B729" s="476"/>
      <c r="C729" s="343"/>
      <c r="D729" s="343"/>
      <c r="E729" s="336"/>
      <c r="F729" s="337"/>
      <c r="G729" s="338"/>
      <c r="H729" s="364"/>
      <c r="I729" s="340"/>
      <c r="J729" s="341"/>
      <c r="K729" s="342"/>
      <c r="L729" s="334"/>
      <c r="N729" s="312"/>
    </row>
    <row r="730" spans="2:14" x14ac:dyDescent="0.2">
      <c r="B730" s="476"/>
      <c r="C730" s="343"/>
      <c r="D730" s="343"/>
      <c r="E730" s="336"/>
      <c r="F730" s="337"/>
      <c r="G730" s="338"/>
      <c r="H730" s="364"/>
      <c r="I730" s="340"/>
      <c r="J730" s="341"/>
      <c r="K730" s="342"/>
      <c r="L730" s="334"/>
      <c r="N730" s="312"/>
    </row>
    <row r="731" spans="2:14" ht="15.75" x14ac:dyDescent="0.25">
      <c r="B731" s="474"/>
      <c r="C731" s="119" t="s">
        <v>91</v>
      </c>
      <c r="D731" s="119" t="s">
        <v>92</v>
      </c>
      <c r="E731" s="121">
        <f>'PROYECCION 2021'!C60</f>
        <v>7200000</v>
      </c>
      <c r="F731" s="122">
        <f>SUM(F732:F740)</f>
        <v>0</v>
      </c>
      <c r="G731" s="122">
        <f>SUM(G732:G747)</f>
        <v>0</v>
      </c>
      <c r="H731" s="122">
        <f>SUM(H732:H747)</f>
        <v>0</v>
      </c>
      <c r="I731" s="123">
        <f>ROUND((E731+F731+G731-H731),0)</f>
        <v>7200000</v>
      </c>
      <c r="J731" s="223">
        <f>SUM(J732:J747)</f>
        <v>3388100</v>
      </c>
      <c r="K731" s="141">
        <f>I731-J731</f>
        <v>3811900</v>
      </c>
      <c r="L731" s="334"/>
      <c r="N731" s="312"/>
    </row>
    <row r="732" spans="2:14" x14ac:dyDescent="0.2">
      <c r="B732" s="475">
        <v>44224</v>
      </c>
      <c r="C732" s="335"/>
      <c r="D732" s="146" t="s">
        <v>193</v>
      </c>
      <c r="E732" s="336"/>
      <c r="F732" s="337"/>
      <c r="G732" s="338"/>
      <c r="H732" s="364"/>
      <c r="I732" s="340"/>
      <c r="J732" s="345">
        <v>481600</v>
      </c>
      <c r="K732" s="342"/>
      <c r="L732" s="334"/>
      <c r="N732" s="312"/>
    </row>
    <row r="733" spans="2:14" x14ac:dyDescent="0.2">
      <c r="B733" s="475">
        <v>44256</v>
      </c>
      <c r="C733" s="335"/>
      <c r="D733" s="146" t="s">
        <v>249</v>
      </c>
      <c r="E733" s="336"/>
      <c r="F733" s="337"/>
      <c r="G733" s="338"/>
      <c r="H733" s="364"/>
      <c r="I733" s="340"/>
      <c r="J733" s="345">
        <v>439800</v>
      </c>
      <c r="K733" s="342"/>
      <c r="L733" s="334"/>
      <c r="N733" s="312"/>
    </row>
    <row r="734" spans="2:14" x14ac:dyDescent="0.2">
      <c r="B734" s="476">
        <v>44281</v>
      </c>
      <c r="C734" s="343"/>
      <c r="D734" s="343" t="s">
        <v>267</v>
      </c>
      <c r="E734" s="336"/>
      <c r="F734" s="337"/>
      <c r="G734" s="338"/>
      <c r="H734" s="364"/>
      <c r="I734" s="340"/>
      <c r="J734" s="362">
        <v>505400</v>
      </c>
      <c r="K734" s="342"/>
      <c r="L734" s="334"/>
      <c r="N734" s="312"/>
    </row>
    <row r="735" spans="2:14" x14ac:dyDescent="0.2">
      <c r="B735" s="597">
        <v>44312</v>
      </c>
      <c r="C735" s="357"/>
      <c r="D735" s="357" t="s">
        <v>281</v>
      </c>
      <c r="E735" s="336"/>
      <c r="F735" s="337"/>
      <c r="G735" s="338"/>
      <c r="H735" s="364"/>
      <c r="I735" s="340"/>
      <c r="J735" s="362">
        <v>479600</v>
      </c>
      <c r="K735" s="342"/>
      <c r="L735" s="334"/>
      <c r="N735" s="312"/>
    </row>
    <row r="736" spans="2:14" x14ac:dyDescent="0.2">
      <c r="B736" s="597">
        <v>44349</v>
      </c>
      <c r="C736" s="357"/>
      <c r="D736" s="598" t="s">
        <v>299</v>
      </c>
      <c r="E736" s="336"/>
      <c r="F736" s="337"/>
      <c r="G736" s="338"/>
      <c r="H736" s="364"/>
      <c r="I736" s="340"/>
      <c r="J736" s="362">
        <v>517100</v>
      </c>
      <c r="K736" s="342"/>
      <c r="L736" s="334"/>
    </row>
    <row r="737" spans="2:14" x14ac:dyDescent="0.2">
      <c r="B737" s="478">
        <v>44371</v>
      </c>
      <c r="C737" s="357"/>
      <c r="D737" s="357" t="s">
        <v>312</v>
      </c>
      <c r="E737" s="336"/>
      <c r="F737" s="337"/>
      <c r="G737" s="338"/>
      <c r="H737" s="364"/>
      <c r="I737" s="340"/>
      <c r="J737" s="362">
        <v>8700</v>
      </c>
      <c r="K737" s="342"/>
      <c r="L737" s="334"/>
      <c r="N737" s="312"/>
    </row>
    <row r="738" spans="2:14" x14ac:dyDescent="0.2">
      <c r="B738" s="478">
        <v>44371</v>
      </c>
      <c r="C738" s="357"/>
      <c r="D738" s="357" t="s">
        <v>313</v>
      </c>
      <c r="E738" s="336"/>
      <c r="F738" s="337"/>
      <c r="G738" s="338"/>
      <c r="H738" s="364"/>
      <c r="I738" s="340"/>
      <c r="J738" s="362">
        <v>486100</v>
      </c>
      <c r="K738" s="342"/>
      <c r="L738" s="334"/>
      <c r="N738" s="312"/>
    </row>
    <row r="739" spans="2:14" x14ac:dyDescent="0.2">
      <c r="B739" s="478">
        <v>44404</v>
      </c>
      <c r="C739" s="357"/>
      <c r="D739" s="357" t="s">
        <v>321</v>
      </c>
      <c r="E739" s="336"/>
      <c r="F739" s="337"/>
      <c r="G739" s="338"/>
      <c r="H739" s="364"/>
      <c r="I739" s="340"/>
      <c r="J739" s="362">
        <v>469800</v>
      </c>
      <c r="K739" s="342"/>
      <c r="L739" s="334"/>
      <c r="N739" s="312"/>
    </row>
    <row r="740" spans="2:14" x14ac:dyDescent="0.2">
      <c r="B740" s="597"/>
      <c r="C740" s="357"/>
      <c r="D740" s="358"/>
      <c r="E740" s="336"/>
      <c r="F740" s="337"/>
      <c r="G740" s="338"/>
      <c r="H740" s="364"/>
      <c r="I740" s="340"/>
      <c r="J740" s="345"/>
      <c r="K740" s="342"/>
      <c r="L740" s="334"/>
      <c r="N740" s="312"/>
    </row>
    <row r="741" spans="2:14" x14ac:dyDescent="0.2">
      <c r="B741" s="475"/>
      <c r="C741" s="335"/>
      <c r="D741" s="352"/>
      <c r="E741" s="336"/>
      <c r="F741" s="337"/>
      <c r="G741" s="338"/>
      <c r="H741" s="364"/>
      <c r="I741" s="340"/>
      <c r="J741" s="345"/>
      <c r="K741" s="342"/>
      <c r="L741" s="334"/>
      <c r="N741" s="312"/>
    </row>
    <row r="742" spans="2:14" x14ac:dyDescent="0.2">
      <c r="B742" s="475"/>
      <c r="C742" s="403"/>
      <c r="D742" s="146"/>
      <c r="E742" s="336"/>
      <c r="F742" s="337"/>
      <c r="G742" s="338"/>
      <c r="H742" s="364"/>
      <c r="I742" s="340"/>
      <c r="J742" s="341"/>
      <c r="K742" s="342"/>
      <c r="L742" s="334"/>
      <c r="N742" s="312"/>
    </row>
    <row r="743" spans="2:14" x14ac:dyDescent="0.2">
      <c r="B743" s="476"/>
      <c r="C743" s="343"/>
      <c r="D743" s="343"/>
      <c r="E743" s="336"/>
      <c r="F743" s="337"/>
      <c r="G743" s="338"/>
      <c r="H743" s="364"/>
      <c r="I743" s="340"/>
      <c r="J743" s="341"/>
      <c r="K743" s="342"/>
      <c r="L743" s="334"/>
      <c r="N743" s="312"/>
    </row>
    <row r="744" spans="2:14" x14ac:dyDescent="0.2">
      <c r="B744" s="477"/>
      <c r="C744" s="335"/>
      <c r="D744" s="352"/>
      <c r="E744" s="336"/>
      <c r="F744" s="337"/>
      <c r="G744" s="338"/>
      <c r="H744" s="364"/>
      <c r="I744" s="340"/>
      <c r="J744" s="341"/>
      <c r="K744" s="342"/>
      <c r="L744" s="334"/>
      <c r="N744" s="312"/>
    </row>
    <row r="745" spans="2:14" x14ac:dyDescent="0.2">
      <c r="B745" s="477"/>
      <c r="C745" s="335"/>
      <c r="D745" s="352"/>
      <c r="E745" s="336"/>
      <c r="F745" s="337"/>
      <c r="G745" s="338"/>
      <c r="H745" s="364"/>
      <c r="I745" s="340"/>
      <c r="J745" s="341"/>
      <c r="K745" s="342"/>
      <c r="L745" s="334"/>
      <c r="N745" s="312"/>
    </row>
    <row r="746" spans="2:14" x14ac:dyDescent="0.2">
      <c r="B746" s="476"/>
      <c r="C746" s="343"/>
      <c r="D746" s="343"/>
      <c r="E746" s="336"/>
      <c r="F746" s="337"/>
      <c r="G746" s="338"/>
      <c r="H746" s="364"/>
      <c r="I746" s="340"/>
      <c r="J746" s="341"/>
      <c r="K746" s="342"/>
      <c r="L746" s="334"/>
      <c r="N746" s="312"/>
    </row>
    <row r="747" spans="2:14" x14ac:dyDescent="0.2">
      <c r="B747" s="476"/>
      <c r="C747" s="343"/>
      <c r="D747" s="343"/>
      <c r="E747" s="336"/>
      <c r="F747" s="337"/>
      <c r="G747" s="338"/>
      <c r="H747" s="364"/>
      <c r="I747" s="340"/>
      <c r="J747" s="341"/>
      <c r="K747" s="342"/>
      <c r="L747" s="334"/>
      <c r="N747" s="312"/>
    </row>
    <row r="748" spans="2:14" ht="15.75" x14ac:dyDescent="0.25">
      <c r="B748" s="474"/>
      <c r="C748" s="119" t="s">
        <v>93</v>
      </c>
      <c r="D748" s="119" t="s">
        <v>94</v>
      </c>
      <c r="E748" s="121">
        <v>0</v>
      </c>
      <c r="F748" s="123">
        <f>SUM(F749:F756)</f>
        <v>0</v>
      </c>
      <c r="G748" s="123">
        <f>SUM(G749:G756)</f>
        <v>0</v>
      </c>
      <c r="H748" s="123">
        <f>SUM(H749:H756)</f>
        <v>0</v>
      </c>
      <c r="I748" s="123">
        <f>ROUND((E748+F748+G748-H748),0)</f>
        <v>0</v>
      </c>
      <c r="J748" s="223">
        <f>E748+F748+G748-H748</f>
        <v>0</v>
      </c>
      <c r="K748" s="144">
        <f>I748-J748</f>
        <v>0</v>
      </c>
      <c r="L748" s="334"/>
      <c r="N748" s="312"/>
    </row>
    <row r="749" spans="2:14" x14ac:dyDescent="0.2">
      <c r="B749" s="476"/>
      <c r="C749" s="343"/>
      <c r="D749" s="343"/>
      <c r="E749" s="336"/>
      <c r="F749" s="337"/>
      <c r="G749" s="338"/>
      <c r="H749" s="364"/>
      <c r="I749" s="340"/>
      <c r="J749" s="341"/>
      <c r="K749" s="342"/>
      <c r="L749" s="334"/>
      <c r="N749" s="312"/>
    </row>
    <row r="750" spans="2:14" x14ac:dyDescent="0.2">
      <c r="B750" s="476"/>
      <c r="C750" s="343"/>
      <c r="D750" s="343"/>
      <c r="E750" s="336"/>
      <c r="F750" s="337"/>
      <c r="G750" s="338"/>
      <c r="H750" s="364"/>
      <c r="I750" s="340"/>
      <c r="J750" s="341"/>
      <c r="K750" s="342"/>
      <c r="L750" s="334"/>
      <c r="N750" s="312"/>
    </row>
    <row r="751" spans="2:14" x14ac:dyDescent="0.2">
      <c r="B751" s="476"/>
      <c r="C751" s="343"/>
      <c r="D751" s="343"/>
      <c r="E751" s="336"/>
      <c r="F751" s="337"/>
      <c r="G751" s="338"/>
      <c r="H751" s="364"/>
      <c r="I751" s="340"/>
      <c r="J751" s="341"/>
      <c r="K751" s="342"/>
      <c r="L751" s="334"/>
      <c r="N751" s="312"/>
    </row>
    <row r="752" spans="2:14" x14ac:dyDescent="0.2">
      <c r="B752" s="476"/>
      <c r="C752" s="343"/>
      <c r="D752" s="343"/>
      <c r="E752" s="336"/>
      <c r="F752" s="337"/>
      <c r="G752" s="338"/>
      <c r="H752" s="364"/>
      <c r="I752" s="340"/>
      <c r="J752" s="341"/>
      <c r="K752" s="342"/>
      <c r="L752" s="334"/>
      <c r="N752" s="312"/>
    </row>
    <row r="753" spans="2:14" x14ac:dyDescent="0.2">
      <c r="B753" s="476"/>
      <c r="C753" s="343"/>
      <c r="D753" s="343"/>
      <c r="E753" s="336"/>
      <c r="F753" s="337"/>
      <c r="G753" s="338"/>
      <c r="H753" s="364"/>
      <c r="I753" s="340"/>
      <c r="J753" s="341"/>
      <c r="K753" s="342"/>
      <c r="L753" s="334"/>
      <c r="N753" s="312"/>
    </row>
    <row r="754" spans="2:14" x14ac:dyDescent="0.2">
      <c r="B754" s="476"/>
      <c r="C754" s="343"/>
      <c r="D754" s="343"/>
      <c r="E754" s="336"/>
      <c r="F754" s="337"/>
      <c r="G754" s="338"/>
      <c r="H754" s="364"/>
      <c r="I754" s="340"/>
      <c r="J754" s="341"/>
      <c r="K754" s="342"/>
      <c r="L754" s="334"/>
      <c r="N754" s="312"/>
    </row>
    <row r="755" spans="2:14" x14ac:dyDescent="0.2">
      <c r="B755" s="476"/>
      <c r="C755" s="343"/>
      <c r="D755" s="343"/>
      <c r="E755" s="336"/>
      <c r="F755" s="337"/>
      <c r="G755" s="338"/>
      <c r="H755" s="364"/>
      <c r="I755" s="340"/>
      <c r="J755" s="341"/>
      <c r="K755" s="342"/>
      <c r="L755" s="334"/>
      <c r="N755" s="312"/>
    </row>
    <row r="756" spans="2:14" x14ac:dyDescent="0.2">
      <c r="B756" s="476"/>
      <c r="C756" s="343"/>
      <c r="D756" s="343"/>
      <c r="E756" s="336"/>
      <c r="F756" s="337"/>
      <c r="G756" s="338"/>
      <c r="H756" s="364"/>
      <c r="I756" s="340"/>
      <c r="J756" s="341"/>
      <c r="K756" s="342"/>
      <c r="L756" s="334"/>
      <c r="N756" s="312"/>
    </row>
    <row r="757" spans="2:14" ht="15.75" x14ac:dyDescent="0.25">
      <c r="B757" s="489"/>
      <c r="C757" s="132">
        <v>20201301</v>
      </c>
      <c r="D757" s="133" t="s">
        <v>95</v>
      </c>
      <c r="E757" s="134">
        <f t="shared" ref="E757:J757" si="5">E758</f>
        <v>0</v>
      </c>
      <c r="F757" s="133">
        <f t="shared" si="5"/>
        <v>0</v>
      </c>
      <c r="G757" s="133">
        <f t="shared" si="5"/>
        <v>0</v>
      </c>
      <c r="H757" s="133">
        <f t="shared" si="5"/>
        <v>0</v>
      </c>
      <c r="I757" s="133">
        <f t="shared" si="5"/>
        <v>0</v>
      </c>
      <c r="J757" s="226">
        <f t="shared" si="5"/>
        <v>0</v>
      </c>
      <c r="K757" s="320">
        <f>I757-J757</f>
        <v>0</v>
      </c>
      <c r="L757" s="334"/>
      <c r="N757" s="312"/>
    </row>
    <row r="758" spans="2:14" ht="15.75" x14ac:dyDescent="0.25">
      <c r="B758" s="474"/>
      <c r="C758" s="119">
        <v>2020130101</v>
      </c>
      <c r="D758" s="119" t="s">
        <v>142</v>
      </c>
      <c r="E758" s="123">
        <f>'PROYECCION 2021'!C63</f>
        <v>0</v>
      </c>
      <c r="F758" s="122">
        <f>SUM(F759:F771)</f>
        <v>0</v>
      </c>
      <c r="G758" s="122">
        <f>SUM(G759:G771)</f>
        <v>0</v>
      </c>
      <c r="H758" s="122">
        <f>SUM(H759:H771)</f>
        <v>0</v>
      </c>
      <c r="I758" s="138">
        <f>E758+F758+G758-H758</f>
        <v>0</v>
      </c>
      <c r="J758" s="223">
        <f>SUM(J759:J771)</f>
        <v>0</v>
      </c>
      <c r="K758" s="144">
        <f>I758-J758</f>
        <v>0</v>
      </c>
      <c r="L758" s="334"/>
      <c r="N758" s="312"/>
    </row>
    <row r="759" spans="2:14" x14ac:dyDescent="0.2">
      <c r="B759" s="490"/>
      <c r="C759" s="414"/>
      <c r="D759" s="414"/>
      <c r="E759" s="401"/>
      <c r="F759" s="415"/>
      <c r="G759" s="416"/>
      <c r="H759" s="400"/>
      <c r="I759" s="417"/>
      <c r="J759" s="430"/>
      <c r="K759" s="418"/>
      <c r="L759" s="334"/>
      <c r="N759" s="312"/>
    </row>
    <row r="760" spans="2:14" x14ac:dyDescent="0.2">
      <c r="B760" s="490"/>
      <c r="C760" s="414"/>
      <c r="D760" s="414"/>
      <c r="E760" s="401"/>
      <c r="F760" s="415"/>
      <c r="G760" s="416"/>
      <c r="H760" s="400"/>
      <c r="I760" s="417"/>
      <c r="J760" s="430"/>
      <c r="K760" s="418"/>
      <c r="L760" s="334"/>
      <c r="N760" s="312"/>
    </row>
    <row r="761" spans="2:14" x14ac:dyDescent="0.2">
      <c r="B761" s="477"/>
      <c r="C761" s="335"/>
      <c r="D761" s="352"/>
      <c r="E761" s="401"/>
      <c r="F761" s="415"/>
      <c r="G761" s="416"/>
      <c r="H761" s="400"/>
      <c r="I761" s="417"/>
      <c r="J761" s="430"/>
      <c r="K761" s="418"/>
      <c r="L761" s="334"/>
      <c r="N761" s="312"/>
    </row>
    <row r="762" spans="2:14" x14ac:dyDescent="0.2">
      <c r="B762" s="477"/>
      <c r="C762" s="335"/>
      <c r="D762" s="352"/>
      <c r="E762" s="401"/>
      <c r="F762" s="415"/>
      <c r="G762" s="416"/>
      <c r="H762" s="400"/>
      <c r="I762" s="417"/>
      <c r="J762" s="419"/>
      <c r="K762" s="418"/>
      <c r="L762" s="334"/>
      <c r="N762" s="312"/>
    </row>
    <row r="763" spans="2:14" x14ac:dyDescent="0.2">
      <c r="B763" s="491"/>
      <c r="C763" s="420"/>
      <c r="D763" s="421"/>
      <c r="E763" s="401"/>
      <c r="F763" s="415"/>
      <c r="G763" s="416"/>
      <c r="H763" s="400"/>
      <c r="I763" s="417"/>
      <c r="J763" s="419"/>
      <c r="K763" s="418"/>
      <c r="L763" s="334"/>
      <c r="N763" s="312"/>
    </row>
    <row r="764" spans="2:14" x14ac:dyDescent="0.2">
      <c r="B764" s="491"/>
      <c r="C764" s="420"/>
      <c r="D764" s="421"/>
      <c r="E764" s="401"/>
      <c r="F764" s="415"/>
      <c r="G764" s="416"/>
      <c r="H764" s="400"/>
      <c r="I764" s="417"/>
      <c r="J764" s="419"/>
      <c r="K764" s="418"/>
      <c r="L764" s="334"/>
      <c r="N764" s="312"/>
    </row>
    <row r="765" spans="2:14" x14ac:dyDescent="0.2">
      <c r="B765" s="491"/>
      <c r="C765" s="420"/>
      <c r="D765" s="421"/>
      <c r="E765" s="401"/>
      <c r="F765" s="415"/>
      <c r="G765" s="416"/>
      <c r="H765" s="400"/>
      <c r="I765" s="417"/>
      <c r="J765" s="419"/>
      <c r="K765" s="418"/>
      <c r="L765" s="334"/>
      <c r="N765" s="312"/>
    </row>
    <row r="766" spans="2:14" x14ac:dyDescent="0.2">
      <c r="B766" s="491"/>
      <c r="C766" s="420"/>
      <c r="D766" s="421"/>
      <c r="E766" s="401"/>
      <c r="F766" s="415"/>
      <c r="G766" s="416"/>
      <c r="H766" s="400"/>
      <c r="I766" s="417"/>
      <c r="J766" s="419"/>
      <c r="K766" s="418"/>
      <c r="L766" s="334"/>
      <c r="N766" s="312"/>
    </row>
    <row r="767" spans="2:14" x14ac:dyDescent="0.2">
      <c r="B767" s="475"/>
      <c r="C767" s="403"/>
      <c r="D767" s="146"/>
      <c r="E767" s="401"/>
      <c r="F767" s="415"/>
      <c r="G767" s="416"/>
      <c r="H767" s="400"/>
      <c r="I767" s="417"/>
      <c r="J767" s="419"/>
      <c r="K767" s="418"/>
      <c r="L767" s="334"/>
      <c r="N767" s="312"/>
    </row>
    <row r="768" spans="2:14" x14ac:dyDescent="0.2">
      <c r="B768" s="476"/>
      <c r="C768" s="343"/>
      <c r="D768" s="343"/>
      <c r="E768" s="401"/>
      <c r="F768" s="415"/>
      <c r="G768" s="416"/>
      <c r="H768" s="400"/>
      <c r="I768" s="417"/>
      <c r="J768" s="419"/>
      <c r="K768" s="418"/>
      <c r="L768" s="334"/>
      <c r="N768" s="312"/>
    </row>
    <row r="769" spans="2:14" x14ac:dyDescent="0.2">
      <c r="B769" s="491"/>
      <c r="C769" s="420"/>
      <c r="D769" s="421"/>
      <c r="E769" s="401"/>
      <c r="F769" s="415"/>
      <c r="G769" s="416"/>
      <c r="H769" s="400"/>
      <c r="I769" s="417"/>
      <c r="J769" s="419"/>
      <c r="K769" s="418"/>
      <c r="L769" s="334"/>
      <c r="N769" s="312"/>
    </row>
    <row r="770" spans="2:14" x14ac:dyDescent="0.2">
      <c r="B770" s="491"/>
      <c r="C770" s="420"/>
      <c r="D770" s="421"/>
      <c r="E770" s="401"/>
      <c r="F770" s="415"/>
      <c r="G770" s="416"/>
      <c r="H770" s="400"/>
      <c r="I770" s="417"/>
      <c r="J770" s="419"/>
      <c r="K770" s="418"/>
      <c r="L770" s="334"/>
      <c r="N770" s="312"/>
    </row>
    <row r="771" spans="2:14" ht="20.25" customHeight="1" x14ac:dyDescent="0.2">
      <c r="B771" s="491"/>
      <c r="C771" s="420"/>
      <c r="D771" s="420"/>
      <c r="E771" s="401"/>
      <c r="F771" s="415"/>
      <c r="G771" s="416"/>
      <c r="H771" s="400"/>
      <c r="I771" s="417"/>
      <c r="J771" s="419"/>
      <c r="K771" s="418"/>
      <c r="L771" s="334"/>
      <c r="N771" s="312"/>
    </row>
    <row r="772" spans="2:14" ht="16.5" thickBot="1" x14ac:dyDescent="0.3">
      <c r="B772" s="492"/>
      <c r="C772" s="130"/>
      <c r="D772" s="130" t="s">
        <v>171</v>
      </c>
      <c r="E772" s="422">
        <f>E757+E614+E560+E257+E215+E182+E3</f>
        <v>1168442348</v>
      </c>
      <c r="F772" s="422">
        <f>F614+F560+F257+F215+F182+F3+F757</f>
        <v>185847307</v>
      </c>
      <c r="G772" s="422">
        <f>G614+G560+G257+G215+G182+G3+G758</f>
        <v>87505400</v>
      </c>
      <c r="H772" s="422">
        <f>H614+H560+H257+H215+H182+H3+H757</f>
        <v>87391300</v>
      </c>
      <c r="I772" s="422">
        <f>E772+F772</f>
        <v>1354289655</v>
      </c>
      <c r="J772" s="422">
        <f>J757+J614+J560+J257+J215+J182+J3</f>
        <v>678888652.86666667</v>
      </c>
      <c r="K772" s="423">
        <f>I772-J772</f>
        <v>675401002.13333333</v>
      </c>
      <c r="L772" s="334"/>
      <c r="N772" s="312"/>
    </row>
    <row r="773" spans="2:14" x14ac:dyDescent="0.2">
      <c r="J773" s="614"/>
    </row>
    <row r="774" spans="2:14" x14ac:dyDescent="0.2">
      <c r="G774" s="425"/>
      <c r="I774" s="425"/>
      <c r="J774" s="614"/>
      <c r="K774" s="426"/>
    </row>
    <row r="775" spans="2:14" x14ac:dyDescent="0.2">
      <c r="I775" s="426"/>
      <c r="J775" s="614"/>
      <c r="K775" s="425"/>
      <c r="L775" s="426"/>
    </row>
    <row r="776" spans="2:14" x14ac:dyDescent="0.2">
      <c r="K776" s="425"/>
    </row>
    <row r="777" spans="2:14" x14ac:dyDescent="0.2">
      <c r="I777" s="426"/>
      <c r="J777" s="614"/>
    </row>
    <row r="778" spans="2:14" x14ac:dyDescent="0.2">
      <c r="J778" s="614"/>
    </row>
    <row r="779" spans="2:14" x14ac:dyDescent="0.2">
      <c r="J779" s="614"/>
    </row>
    <row r="780" spans="2:14" x14ac:dyDescent="0.2">
      <c r="I780" s="426"/>
    </row>
  </sheetData>
  <phoneticPr fontId="30" type="noConversion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R68"/>
  <sheetViews>
    <sheetView showGridLines="0" zoomScale="80" zoomScaleNormal="80" zoomScaleSheetLayoutView="80" workbookViewId="0">
      <pane xSplit="2" ySplit="7" topLeftCell="H41" activePane="bottomRight" state="frozen"/>
      <selection activeCell="J677" sqref="J677"/>
      <selection pane="topRight" activeCell="J677" sqref="J677"/>
      <selection pane="bottomLeft" activeCell="J677" sqref="J677"/>
      <selection pane="bottomRight" activeCell="B56" sqref="B56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202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J8" si="0">SUM(C9:C16)</f>
        <v>699585000</v>
      </c>
      <c r="D8" s="176">
        <f t="shared" si="0"/>
        <v>0</v>
      </c>
      <c r="E8" s="176">
        <f t="shared" si="0"/>
        <v>0</v>
      </c>
      <c r="F8" s="176">
        <f t="shared" si="0"/>
        <v>0</v>
      </c>
      <c r="G8" s="176">
        <f t="shared" si="0"/>
        <v>0</v>
      </c>
      <c r="H8" s="176">
        <f t="shared" si="0"/>
        <v>699585000</v>
      </c>
      <c r="I8" s="176">
        <f t="shared" si="0"/>
        <v>0</v>
      </c>
      <c r="J8" s="176">
        <f t="shared" si="0"/>
        <v>29519098.866666667</v>
      </c>
      <c r="K8" s="177">
        <f t="shared" ref="K8:K18" si="1">L8/H8</f>
        <v>4.2195156938280076E-2</v>
      </c>
      <c r="L8" s="178">
        <f>SUM(L9:L16)</f>
        <v>29519098.866666667</v>
      </c>
      <c r="M8" s="178">
        <f>SUM(M9:M16)</f>
        <v>29519098.866666667</v>
      </c>
      <c r="N8" s="176">
        <f>SUM(N9:N16)</f>
        <v>670065901.13333333</v>
      </c>
      <c r="O8" s="179">
        <f t="shared" ref="O8:O18" si="2">N8/H8</f>
        <v>0.95780484306171987</v>
      </c>
      <c r="P8" s="176">
        <f>SUM(P9:P16)</f>
        <v>29519098.866666667</v>
      </c>
      <c r="Q8" s="176">
        <f>SUM(Q9:Q16)</f>
        <v>0</v>
      </c>
      <c r="R8" s="176">
        <f>SUM(R9:R16)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/>
      <c r="H9" s="185">
        <f t="shared" ref="H9:H16" si="3">C9-D9+E9+F9-G9</f>
        <v>536000000</v>
      </c>
      <c r="I9" s="186"/>
      <c r="J9" s="4">
        <f>'LIBRO DE PRESUPUESTO'!J5</f>
        <v>25228716</v>
      </c>
      <c r="K9" s="187">
        <f t="shared" si="1"/>
        <v>4.7068499999999999E-2</v>
      </c>
      <c r="L9" s="188">
        <f t="shared" ref="L9:L16" si="4">J9+I9</f>
        <v>25228716</v>
      </c>
      <c r="M9" s="321">
        <f t="shared" ref="M9:M16" si="5">I9+J9</f>
        <v>25228716</v>
      </c>
      <c r="N9" s="189">
        <f t="shared" ref="N9:N16" si="6">H9-L9</f>
        <v>510771284</v>
      </c>
      <c r="O9" s="190">
        <f t="shared" si="2"/>
        <v>0.95293150000000004</v>
      </c>
      <c r="P9" s="432">
        <f>M9</f>
        <v>25228716</v>
      </c>
      <c r="Q9" s="432">
        <f t="shared" ref="Q9:Q16" si="7">M9-P9</f>
        <v>0</v>
      </c>
      <c r="R9" s="432">
        <f t="shared" ref="R9:R16" si="8">L9-M9</f>
        <v>0</v>
      </c>
    </row>
    <row r="10" spans="1:18" ht="15" x14ac:dyDescent="0.25">
      <c r="A10" s="496" t="s">
        <v>210</v>
      </c>
      <c r="B10" s="182" t="s">
        <v>11</v>
      </c>
      <c r="C10" s="159">
        <v>1320000</v>
      </c>
      <c r="D10" s="184"/>
      <c r="E10" s="457"/>
      <c r="F10" s="458"/>
      <c r="G10" s="459"/>
      <c r="H10" s="185">
        <f t="shared" si="3"/>
        <v>1320000</v>
      </c>
      <c r="I10" s="186"/>
      <c r="J10" s="186">
        <f>'LIBRO DE PRESUPUESTO'!J34</f>
        <v>67420.866666666669</v>
      </c>
      <c r="K10" s="187">
        <f t="shared" si="1"/>
        <v>5.1076414141414145E-2</v>
      </c>
      <c r="L10" s="188">
        <f t="shared" si="4"/>
        <v>67420.866666666669</v>
      </c>
      <c r="M10" s="321">
        <f t="shared" si="5"/>
        <v>67420.866666666669</v>
      </c>
      <c r="N10" s="189">
        <f t="shared" si="6"/>
        <v>1252579.1333333333</v>
      </c>
      <c r="O10" s="190">
        <f t="shared" si="2"/>
        <v>0.94892358585858583</v>
      </c>
      <c r="P10" s="432">
        <f t="shared" ref="P10:P16" si="9">L10</f>
        <v>67420.866666666669</v>
      </c>
      <c r="Q10" s="432">
        <f t="shared" si="7"/>
        <v>0</v>
      </c>
      <c r="R10" s="432">
        <f t="shared" si="8"/>
        <v>0</v>
      </c>
    </row>
    <row r="11" spans="1:18" ht="15.75" customHeight="1" x14ac:dyDescent="0.25">
      <c r="A11" s="496" t="s">
        <v>211</v>
      </c>
      <c r="B11" s="182" t="s">
        <v>13</v>
      </c>
      <c r="C11" s="159">
        <v>848000</v>
      </c>
      <c r="D11" s="184"/>
      <c r="E11" s="457"/>
      <c r="F11" s="458"/>
      <c r="G11" s="459"/>
      <c r="H11" s="185">
        <f t="shared" si="3"/>
        <v>848000</v>
      </c>
      <c r="I11" s="186"/>
      <c r="J11" s="186">
        <f>'LIBRO DE PRESUPUESTO'!J50</f>
        <v>41862</v>
      </c>
      <c r="K11" s="187">
        <f t="shared" si="1"/>
        <v>4.9365566037735849E-2</v>
      </c>
      <c r="L11" s="188">
        <f t="shared" si="4"/>
        <v>41862</v>
      </c>
      <c r="M11" s="321">
        <f t="shared" si="5"/>
        <v>41862</v>
      </c>
      <c r="N11" s="189">
        <f t="shared" si="6"/>
        <v>806138</v>
      </c>
      <c r="O11" s="190">
        <f t="shared" si="2"/>
        <v>0.9506344339622641</v>
      </c>
      <c r="P11" s="432">
        <f t="shared" si="9"/>
        <v>41862</v>
      </c>
      <c r="Q11" s="432">
        <f t="shared" si="7"/>
        <v>0</v>
      </c>
      <c r="R11" s="432">
        <f t="shared" si="8"/>
        <v>0</v>
      </c>
    </row>
    <row r="12" spans="1:18" ht="15" x14ac:dyDescent="0.25">
      <c r="A12" s="496" t="s">
        <v>212</v>
      </c>
      <c r="B12" s="182" t="s">
        <v>15</v>
      </c>
      <c r="C12" s="159">
        <v>16300000</v>
      </c>
      <c r="D12" s="184"/>
      <c r="E12" s="457"/>
      <c r="F12" s="458"/>
      <c r="G12" s="459"/>
      <c r="H12" s="185">
        <f t="shared" si="3"/>
        <v>16300000</v>
      </c>
      <c r="I12" s="186"/>
      <c r="J12" s="4">
        <f>'LIBRO DE PRESUPUESTO'!J69</f>
        <v>4181100</v>
      </c>
      <c r="K12" s="187">
        <f t="shared" si="1"/>
        <v>0.25650920245398773</v>
      </c>
      <c r="L12" s="188">
        <f t="shared" si="4"/>
        <v>4181100</v>
      </c>
      <c r="M12" s="321">
        <f t="shared" si="5"/>
        <v>4181100</v>
      </c>
      <c r="N12" s="189">
        <f t="shared" si="6"/>
        <v>12118900</v>
      </c>
      <c r="O12" s="190">
        <f t="shared" si="2"/>
        <v>0.74349079754601222</v>
      </c>
      <c r="P12" s="432">
        <f t="shared" si="9"/>
        <v>4181100</v>
      </c>
      <c r="Q12" s="432">
        <f t="shared" si="7"/>
        <v>0</v>
      </c>
      <c r="R12" s="432">
        <f t="shared" si="8"/>
        <v>0</v>
      </c>
    </row>
    <row r="13" spans="1:18" ht="15" x14ac:dyDescent="0.25">
      <c r="A13" s="496" t="s">
        <v>213</v>
      </c>
      <c r="B13" s="182" t="s">
        <v>17</v>
      </c>
      <c r="C13" s="159">
        <v>24000000</v>
      </c>
      <c r="D13" s="184"/>
      <c r="E13" s="457"/>
      <c r="F13" s="458"/>
      <c r="G13" s="459"/>
      <c r="H13" s="185">
        <f t="shared" si="3"/>
        <v>24000000</v>
      </c>
      <c r="I13" s="186"/>
      <c r="J13" s="4">
        <v>0</v>
      </c>
      <c r="K13" s="187">
        <f t="shared" si="1"/>
        <v>0</v>
      </c>
      <c r="L13" s="188">
        <f t="shared" si="4"/>
        <v>0</v>
      </c>
      <c r="M13" s="321">
        <f t="shared" si="5"/>
        <v>0</v>
      </c>
      <c r="N13" s="189">
        <f t="shared" si="6"/>
        <v>24000000</v>
      </c>
      <c r="O13" s="190">
        <f t="shared" si="2"/>
        <v>1</v>
      </c>
      <c r="P13" s="432">
        <f t="shared" si="9"/>
        <v>0</v>
      </c>
      <c r="Q13" s="432">
        <f t="shared" si="7"/>
        <v>0</v>
      </c>
      <c r="R13" s="432">
        <f t="shared" si="8"/>
        <v>0</v>
      </c>
    </row>
    <row r="14" spans="1:18" ht="15" x14ac:dyDescent="0.25">
      <c r="A14" s="496" t="s">
        <v>214</v>
      </c>
      <c r="B14" s="182" t="s">
        <v>19</v>
      </c>
      <c r="C14" s="159">
        <v>24787000</v>
      </c>
      <c r="D14" s="184"/>
      <c r="E14" s="457"/>
      <c r="F14" s="458"/>
      <c r="G14" s="459"/>
      <c r="H14" s="185">
        <f t="shared" si="3"/>
        <v>24787000</v>
      </c>
      <c r="I14" s="186"/>
      <c r="J14" s="4">
        <v>0</v>
      </c>
      <c r="K14" s="187">
        <f t="shared" si="1"/>
        <v>0</v>
      </c>
      <c r="L14" s="188">
        <f t="shared" si="4"/>
        <v>0</v>
      </c>
      <c r="M14" s="321">
        <f t="shared" si="5"/>
        <v>0</v>
      </c>
      <c r="N14" s="189">
        <f t="shared" si="6"/>
        <v>24787000</v>
      </c>
      <c r="O14" s="190">
        <f t="shared" si="2"/>
        <v>1</v>
      </c>
      <c r="P14" s="432">
        <f t="shared" si="9"/>
        <v>0</v>
      </c>
      <c r="Q14" s="432">
        <f t="shared" si="7"/>
        <v>0</v>
      </c>
      <c r="R14" s="432">
        <f t="shared" si="8"/>
        <v>0</v>
      </c>
    </row>
    <row r="15" spans="1:18" ht="15" x14ac:dyDescent="0.25">
      <c r="A15" s="496" t="s">
        <v>215</v>
      </c>
      <c r="B15" s="182" t="s">
        <v>20</v>
      </c>
      <c r="C15" s="159">
        <v>41330000</v>
      </c>
      <c r="D15" s="184"/>
      <c r="E15" s="457"/>
      <c r="F15" s="458"/>
      <c r="G15" s="459"/>
      <c r="H15" s="185">
        <f t="shared" si="3"/>
        <v>41330000</v>
      </c>
      <c r="I15" s="186"/>
      <c r="J15" s="4">
        <v>0</v>
      </c>
      <c r="K15" s="187">
        <f t="shared" si="1"/>
        <v>0</v>
      </c>
      <c r="L15" s="188">
        <f t="shared" si="4"/>
        <v>0</v>
      </c>
      <c r="M15" s="321">
        <f t="shared" si="5"/>
        <v>0</v>
      </c>
      <c r="N15" s="189">
        <f t="shared" si="6"/>
        <v>41330000</v>
      </c>
      <c r="O15" s="190">
        <f t="shared" si="2"/>
        <v>1</v>
      </c>
      <c r="P15" s="432">
        <f t="shared" si="9"/>
        <v>0</v>
      </c>
      <c r="Q15" s="432">
        <f t="shared" si="7"/>
        <v>0</v>
      </c>
      <c r="R15" s="432">
        <f t="shared" si="8"/>
        <v>0</v>
      </c>
    </row>
    <row r="16" spans="1:18" ht="15" x14ac:dyDescent="0.25">
      <c r="A16" s="496" t="s">
        <v>216</v>
      </c>
      <c r="B16" s="182" t="s">
        <v>21</v>
      </c>
      <c r="C16" s="159">
        <v>55000000</v>
      </c>
      <c r="D16" s="184"/>
      <c r="E16" s="457"/>
      <c r="F16" s="458"/>
      <c r="G16" s="459"/>
      <c r="H16" s="185">
        <f t="shared" si="3"/>
        <v>55000000</v>
      </c>
      <c r="I16" s="186"/>
      <c r="J16" s="4">
        <v>0</v>
      </c>
      <c r="K16" s="187">
        <f t="shared" si="1"/>
        <v>0</v>
      </c>
      <c r="L16" s="188">
        <f t="shared" si="4"/>
        <v>0</v>
      </c>
      <c r="M16" s="321">
        <f t="shared" si="5"/>
        <v>0</v>
      </c>
      <c r="N16" s="189">
        <f t="shared" si="6"/>
        <v>55000000</v>
      </c>
      <c r="O16" s="190">
        <f t="shared" si="2"/>
        <v>1</v>
      </c>
      <c r="P16" s="432">
        <f t="shared" si="9"/>
        <v>0</v>
      </c>
      <c r="Q16" s="432">
        <f t="shared" si="7"/>
        <v>0</v>
      </c>
      <c r="R16" s="432">
        <f t="shared" si="8"/>
        <v>0</v>
      </c>
    </row>
    <row r="17" spans="1:18" s="192" customFormat="1" ht="27.75" customHeight="1" x14ac:dyDescent="0.2">
      <c r="A17" s="497">
        <v>20210102</v>
      </c>
      <c r="B17" s="175" t="s">
        <v>23</v>
      </c>
      <c r="C17" s="176">
        <f t="shared" ref="C17:J17" si="10">SUM(C18:C20)</f>
        <v>77000000</v>
      </c>
      <c r="D17" s="176">
        <f t="shared" si="10"/>
        <v>0</v>
      </c>
      <c r="E17" s="176">
        <f t="shared" si="10"/>
        <v>0</v>
      </c>
      <c r="F17" s="176">
        <f t="shared" si="10"/>
        <v>0</v>
      </c>
      <c r="G17" s="176">
        <f t="shared" si="10"/>
        <v>0</v>
      </c>
      <c r="H17" s="176">
        <f t="shared" si="10"/>
        <v>77000000</v>
      </c>
      <c r="I17" s="176">
        <f t="shared" si="10"/>
        <v>0</v>
      </c>
      <c r="J17" s="176">
        <f t="shared" si="10"/>
        <v>25400000</v>
      </c>
      <c r="K17" s="177">
        <f t="shared" si="1"/>
        <v>0.32987012987012987</v>
      </c>
      <c r="L17" s="191">
        <f>SUM(L18:L20)</f>
        <v>25400000</v>
      </c>
      <c r="M17" s="191">
        <f>SUM(M18:M20)</f>
        <v>25400000</v>
      </c>
      <c r="N17" s="191">
        <f>SUM(N18:N20)</f>
        <v>51600000</v>
      </c>
      <c r="O17" s="179">
        <f t="shared" si="2"/>
        <v>0.67012987012987013</v>
      </c>
      <c r="P17" s="176">
        <f>SUM(P18:P20)</f>
        <v>25400000</v>
      </c>
      <c r="Q17" s="176">
        <f>SUM(Q18:Q20)</f>
        <v>0</v>
      </c>
      <c r="R17" s="176">
        <f>SUM(R18:R20)</f>
        <v>0</v>
      </c>
    </row>
    <row r="18" spans="1:18" ht="15" x14ac:dyDescent="0.25">
      <c r="A18" s="496" t="s">
        <v>217</v>
      </c>
      <c r="B18" s="193" t="s">
        <v>25</v>
      </c>
      <c r="C18" s="159">
        <v>60000000</v>
      </c>
      <c r="D18" s="186"/>
      <c r="E18" s="457"/>
      <c r="F18" s="458"/>
      <c r="G18" s="459"/>
      <c r="H18" s="185">
        <f>C18-D18+E18+F18-G18</f>
        <v>60000000</v>
      </c>
      <c r="I18" s="186"/>
      <c r="J18" s="186">
        <f>'LIBRO DE PRESUPUESTO'!J184</f>
        <v>16800000</v>
      </c>
      <c r="K18" s="187">
        <f t="shared" si="1"/>
        <v>0.28000000000000003</v>
      </c>
      <c r="L18" s="188">
        <f>J18+I18</f>
        <v>16800000</v>
      </c>
      <c r="M18" s="321">
        <f>I18+J18</f>
        <v>16800000</v>
      </c>
      <c r="N18" s="189">
        <f>H18-L18</f>
        <v>43200000</v>
      </c>
      <c r="O18" s="190">
        <f t="shared" si="2"/>
        <v>0.72</v>
      </c>
      <c r="P18" s="432">
        <f>M18</f>
        <v>16800000</v>
      </c>
      <c r="Q18" s="432">
        <f>M18-P18</f>
        <v>0</v>
      </c>
      <c r="R18" s="432">
        <f>L18-M18</f>
        <v>0</v>
      </c>
    </row>
    <row r="19" spans="1:18" ht="15" x14ac:dyDescent="0.25">
      <c r="A19" s="496" t="s">
        <v>218</v>
      </c>
      <c r="B19" s="182" t="s">
        <v>27</v>
      </c>
      <c r="C19" s="159">
        <v>17000000</v>
      </c>
      <c r="D19" s="186"/>
      <c r="E19" s="457"/>
      <c r="F19" s="458"/>
      <c r="G19" s="459"/>
      <c r="H19" s="185">
        <f>C19-D19+E19+F19-G19</f>
        <v>17000000</v>
      </c>
      <c r="I19" s="186"/>
      <c r="J19" s="186">
        <f>'LIBRO DE PRESUPUESTO'!J201+'LIBRO DE PRESUPUESTO'!J202</f>
        <v>8600000</v>
      </c>
      <c r="K19" s="187">
        <v>0</v>
      </c>
      <c r="L19" s="188">
        <f>J19+I19</f>
        <v>8600000</v>
      </c>
      <c r="M19" s="321">
        <f>I19+J19</f>
        <v>8600000</v>
      </c>
      <c r="N19" s="189">
        <f>H19-L19</f>
        <v>8400000</v>
      </c>
      <c r="O19" s="190">
        <v>0</v>
      </c>
      <c r="P19" s="432">
        <f>L19</f>
        <v>8600000</v>
      </c>
      <c r="Q19" s="432">
        <f>M19-P19</f>
        <v>0</v>
      </c>
      <c r="R19" s="432">
        <f>L19-M19</f>
        <v>0</v>
      </c>
    </row>
    <row r="20" spans="1:18" ht="15" x14ac:dyDescent="0.25">
      <c r="A20" s="181">
        <v>202110203</v>
      </c>
      <c r="B20" s="194" t="s">
        <v>29</v>
      </c>
      <c r="C20" s="183">
        <f>'PAC INICIAL 2021'!C35</f>
        <v>0</v>
      </c>
      <c r="D20" s="186"/>
      <c r="E20" s="457"/>
      <c r="F20" s="458"/>
      <c r="G20" s="459"/>
      <c r="H20" s="185">
        <f>C20-D20+E20+F20-G20</f>
        <v>0</v>
      </c>
      <c r="I20" s="186"/>
      <c r="J20" s="2">
        <v>0</v>
      </c>
      <c r="K20" s="187">
        <v>0</v>
      </c>
      <c r="L20" s="188">
        <f>J20+I20</f>
        <v>0</v>
      </c>
      <c r="M20" s="321">
        <f>I20+J20</f>
        <v>0</v>
      </c>
      <c r="N20" s="189">
        <f>H20-L20</f>
        <v>0</v>
      </c>
      <c r="O20" s="190">
        <v>0</v>
      </c>
      <c r="P20" s="432">
        <f>L20</f>
        <v>0</v>
      </c>
      <c r="Q20" s="432">
        <f>M20-P20</f>
        <v>0</v>
      </c>
      <c r="R20" s="432">
        <f>L20-M20</f>
        <v>0</v>
      </c>
    </row>
    <row r="21" spans="1:18" ht="30" x14ac:dyDescent="0.2">
      <c r="A21" s="497">
        <v>20210103</v>
      </c>
      <c r="B21" s="200" t="s">
        <v>69</v>
      </c>
      <c r="C21" s="201">
        <f t="shared" ref="C21:J21" si="11">SUM(C22:C25)</f>
        <v>73229741</v>
      </c>
      <c r="D21" s="201">
        <f t="shared" si="11"/>
        <v>0</v>
      </c>
      <c r="E21" s="201">
        <f t="shared" si="11"/>
        <v>0</v>
      </c>
      <c r="F21" s="201">
        <f t="shared" si="11"/>
        <v>0</v>
      </c>
      <c r="G21" s="201">
        <f t="shared" si="11"/>
        <v>0</v>
      </c>
      <c r="H21" s="201">
        <f t="shared" si="11"/>
        <v>73229741</v>
      </c>
      <c r="I21" s="201">
        <f t="shared" si="11"/>
        <v>0</v>
      </c>
      <c r="J21" s="201">
        <f t="shared" si="11"/>
        <v>4459798</v>
      </c>
      <c r="K21" s="177">
        <f t="shared" ref="K21:K27" si="12">L21/H21</f>
        <v>6.0901458056501934E-2</v>
      </c>
      <c r="L21" s="438">
        <f>SUM(L22:L25)</f>
        <v>4459798</v>
      </c>
      <c r="M21" s="438">
        <f>SUM(M22:M25)</f>
        <v>4459798</v>
      </c>
      <c r="N21" s="438">
        <f>SUM(N22:N25)</f>
        <v>68769943</v>
      </c>
      <c r="O21" s="179">
        <f t="shared" ref="O21:O27" si="13">N21/H21</f>
        <v>0.93909854194349807</v>
      </c>
      <c r="P21" s="176">
        <f>SUM(P22:P25)</f>
        <v>4459798</v>
      </c>
      <c r="Q21" s="176">
        <f>SUM(Q22:Q25)</f>
        <v>0</v>
      </c>
      <c r="R21" s="176">
        <f>SUM(R22:R25)</f>
        <v>0</v>
      </c>
    </row>
    <row r="22" spans="1:18" ht="15" x14ac:dyDescent="0.25">
      <c r="A22" s="496" t="s">
        <v>220</v>
      </c>
      <c r="B22" s="194" t="s">
        <v>71</v>
      </c>
      <c r="C22" s="159">
        <v>6000083</v>
      </c>
      <c r="D22" s="184"/>
      <c r="E22" s="457"/>
      <c r="F22" s="458"/>
      <c r="G22" s="459"/>
      <c r="H22" s="185">
        <f>C22-D22+E22+F22-G22</f>
        <v>6000083</v>
      </c>
      <c r="I22" s="186"/>
      <c r="J22" s="4">
        <v>0</v>
      </c>
      <c r="K22" s="187">
        <f t="shared" si="12"/>
        <v>0</v>
      </c>
      <c r="L22" s="188">
        <f>J22+I22</f>
        <v>0</v>
      </c>
      <c r="M22" s="321">
        <f>I22+J22</f>
        <v>0</v>
      </c>
      <c r="N22" s="189">
        <f>H22-L22</f>
        <v>6000083</v>
      </c>
      <c r="O22" s="190">
        <f t="shared" si="13"/>
        <v>1</v>
      </c>
      <c r="P22" s="432">
        <f>M22</f>
        <v>0</v>
      </c>
      <c r="Q22" s="432">
        <f>M22-P22</f>
        <v>0</v>
      </c>
      <c r="R22" s="432">
        <f>L22-M22</f>
        <v>0</v>
      </c>
    </row>
    <row r="23" spans="1:18" ht="15" x14ac:dyDescent="0.25">
      <c r="A23" s="496" t="s">
        <v>219</v>
      </c>
      <c r="B23" s="194" t="s">
        <v>73</v>
      </c>
      <c r="C23" s="159">
        <v>46429658</v>
      </c>
      <c r="D23" s="184"/>
      <c r="E23" s="457"/>
      <c r="F23" s="458"/>
      <c r="G23" s="459"/>
      <c r="H23" s="185">
        <f>C23-D23+E23+F23-G23</f>
        <v>46429658</v>
      </c>
      <c r="I23" s="186"/>
      <c r="J23" s="4">
        <f>'LIBRO DE PRESUPUESTO'!J572</f>
        <v>3739179</v>
      </c>
      <c r="K23" s="187">
        <f t="shared" si="12"/>
        <v>8.0534278327012446E-2</v>
      </c>
      <c r="L23" s="188">
        <f>J23+I23</f>
        <v>3739179</v>
      </c>
      <c r="M23" s="321">
        <f>I23+J23</f>
        <v>3739179</v>
      </c>
      <c r="N23" s="189">
        <f>H23-L23</f>
        <v>42690479</v>
      </c>
      <c r="O23" s="190">
        <f t="shared" si="13"/>
        <v>0.91946572167298757</v>
      </c>
      <c r="P23" s="432">
        <f>L23</f>
        <v>3739179</v>
      </c>
      <c r="Q23" s="432">
        <f>M23-P23</f>
        <v>0</v>
      </c>
      <c r="R23" s="432">
        <f>L23-M23</f>
        <v>0</v>
      </c>
    </row>
    <row r="24" spans="1:18" ht="15" x14ac:dyDescent="0.25">
      <c r="A24" s="496" t="s">
        <v>221</v>
      </c>
      <c r="B24" s="194" t="s">
        <v>74</v>
      </c>
      <c r="C24" s="159">
        <v>14000000</v>
      </c>
      <c r="D24" s="184"/>
      <c r="E24" s="457"/>
      <c r="F24" s="458"/>
      <c r="G24" s="459"/>
      <c r="H24" s="185">
        <f>C24-D24+E24+F24-G24</f>
        <v>14000000</v>
      </c>
      <c r="I24" s="186"/>
      <c r="J24" s="4">
        <f>'LIBRO DE PRESUPUESTO'!J588</f>
        <v>720619</v>
      </c>
      <c r="K24" s="187">
        <f t="shared" si="12"/>
        <v>5.1472785714285714E-2</v>
      </c>
      <c r="L24" s="188">
        <f>J24+I24</f>
        <v>720619</v>
      </c>
      <c r="M24" s="321">
        <f>I24+J24</f>
        <v>720619</v>
      </c>
      <c r="N24" s="189">
        <f>H24-L24</f>
        <v>13279381</v>
      </c>
      <c r="O24" s="190">
        <f t="shared" si="13"/>
        <v>0.94852721428571429</v>
      </c>
      <c r="P24" s="432">
        <f>L24</f>
        <v>720619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222</v>
      </c>
      <c r="B25" s="194" t="s">
        <v>75</v>
      </c>
      <c r="C25" s="159">
        <v>6800000</v>
      </c>
      <c r="D25" s="202"/>
      <c r="E25" s="457"/>
      <c r="F25" s="458"/>
      <c r="G25" s="459"/>
      <c r="H25" s="185">
        <f>C25-D25+E25+F25-G25</f>
        <v>6800000</v>
      </c>
      <c r="I25" s="186"/>
      <c r="J25" s="185">
        <v>0</v>
      </c>
      <c r="K25" s="187">
        <f t="shared" si="12"/>
        <v>0</v>
      </c>
      <c r="L25" s="188">
        <f>J25+I25</f>
        <v>0</v>
      </c>
      <c r="M25" s="321">
        <f>I25+J25</f>
        <v>0</v>
      </c>
      <c r="N25" s="189">
        <f>H25-L25</f>
        <v>6800000</v>
      </c>
      <c r="O25" s="190">
        <f t="shared" si="13"/>
        <v>1</v>
      </c>
      <c r="P25" s="432">
        <f>L25-J25</f>
        <v>0</v>
      </c>
      <c r="Q25" s="432">
        <f>M25-P25</f>
        <v>0</v>
      </c>
      <c r="R25" s="432">
        <f>L25-M25</f>
        <v>0</v>
      </c>
    </row>
    <row r="26" spans="1:18" ht="15.75" x14ac:dyDescent="0.2">
      <c r="A26" s="497">
        <v>20210104</v>
      </c>
      <c r="B26" s="203" t="s">
        <v>76</v>
      </c>
      <c r="C26" s="201">
        <f t="shared" ref="C26:J26" si="14">SUM(C27:C36)</f>
        <v>133100000</v>
      </c>
      <c r="D26" s="201">
        <f t="shared" si="14"/>
        <v>0</v>
      </c>
      <c r="E26" s="201">
        <f t="shared" si="14"/>
        <v>0</v>
      </c>
      <c r="F26" s="201">
        <f t="shared" si="14"/>
        <v>0</v>
      </c>
      <c r="G26" s="201">
        <f t="shared" si="14"/>
        <v>0</v>
      </c>
      <c r="H26" s="201">
        <f t="shared" si="14"/>
        <v>133100000</v>
      </c>
      <c r="I26" s="176">
        <f t="shared" si="14"/>
        <v>0</v>
      </c>
      <c r="J26" s="176">
        <f t="shared" si="14"/>
        <v>9065581</v>
      </c>
      <c r="K26" s="177">
        <f t="shared" si="12"/>
        <v>6.8111051840721262E-2</v>
      </c>
      <c r="L26" s="178">
        <f>SUM(L27:L36)</f>
        <v>9065581</v>
      </c>
      <c r="M26" s="191">
        <f>SUM(M27:M36)</f>
        <v>9065581</v>
      </c>
      <c r="N26" s="191">
        <f>SUM(N27:N36)</f>
        <v>124034419</v>
      </c>
      <c r="O26" s="179">
        <f t="shared" si="13"/>
        <v>0.9318889481592787</v>
      </c>
      <c r="P26" s="176">
        <f>SUM(P27:P36)</f>
        <v>9065581</v>
      </c>
      <c r="Q26" s="176">
        <f>SUM(Q27:Q36)</f>
        <v>0</v>
      </c>
      <c r="R26" s="176">
        <f>SUM(R27:R42)</f>
        <v>0</v>
      </c>
    </row>
    <row r="27" spans="1:18" ht="15" x14ac:dyDescent="0.25">
      <c r="A27" s="496" t="s">
        <v>223</v>
      </c>
      <c r="B27" s="194" t="s">
        <v>78</v>
      </c>
      <c r="C27" s="159">
        <v>12000000</v>
      </c>
      <c r="D27" s="184"/>
      <c r="E27" s="457"/>
      <c r="F27" s="458"/>
      <c r="G27" s="459"/>
      <c r="H27" s="185">
        <f t="shared" ref="H27:H36" si="15">C27-D27+E27+F27-G27</f>
        <v>12000000</v>
      </c>
      <c r="I27" s="186"/>
      <c r="J27" s="2">
        <v>0</v>
      </c>
      <c r="K27" s="187">
        <f t="shared" si="12"/>
        <v>0</v>
      </c>
      <c r="L27" s="188">
        <f t="shared" ref="L27:L36" si="16">J27+I27</f>
        <v>0</v>
      </c>
      <c r="M27" s="321">
        <f t="shared" ref="M27:M36" si="17">I27+J27</f>
        <v>0</v>
      </c>
      <c r="N27" s="189">
        <f t="shared" ref="N27:N36" si="18">H27-L27</f>
        <v>12000000</v>
      </c>
      <c r="O27" s="190">
        <f t="shared" si="13"/>
        <v>1</v>
      </c>
      <c r="P27" s="188">
        <f>L27-J27</f>
        <v>0</v>
      </c>
      <c r="Q27" s="432">
        <f t="shared" ref="Q27:Q36" si="19">M27-P27</f>
        <v>0</v>
      </c>
      <c r="R27" s="432">
        <f t="shared" ref="R27:R42" si="20">L27-M27</f>
        <v>0</v>
      </c>
    </row>
    <row r="28" spans="1:18" ht="15" x14ac:dyDescent="0.25">
      <c r="A28" s="181">
        <v>202110402</v>
      </c>
      <c r="B28" s="194" t="s">
        <v>73</v>
      </c>
      <c r="C28" s="159">
        <v>0</v>
      </c>
      <c r="D28" s="184"/>
      <c r="E28" s="457"/>
      <c r="F28" s="458"/>
      <c r="G28" s="459"/>
      <c r="H28" s="185">
        <f t="shared" si="15"/>
        <v>0</v>
      </c>
      <c r="I28" s="186"/>
      <c r="J28" s="186">
        <v>0</v>
      </c>
      <c r="K28" s="187">
        <v>0</v>
      </c>
      <c r="L28" s="196">
        <f t="shared" si="16"/>
        <v>0</v>
      </c>
      <c r="M28" s="321">
        <f t="shared" si="17"/>
        <v>0</v>
      </c>
      <c r="N28" s="189">
        <f t="shared" si="18"/>
        <v>0</v>
      </c>
      <c r="O28" s="190">
        <v>0</v>
      </c>
      <c r="P28" s="188">
        <f t="shared" ref="P28:P36" si="21">L28</f>
        <v>0</v>
      </c>
      <c r="Q28" s="432">
        <f t="shared" si="19"/>
        <v>0</v>
      </c>
      <c r="R28" s="432">
        <f t="shared" si="20"/>
        <v>0</v>
      </c>
    </row>
    <row r="29" spans="1:18" ht="15" x14ac:dyDescent="0.25">
      <c r="A29" s="496" t="s">
        <v>224</v>
      </c>
      <c r="B29" s="194" t="s">
        <v>81</v>
      </c>
      <c r="C29" s="159">
        <v>3900000</v>
      </c>
      <c r="D29" s="184"/>
      <c r="E29" s="457"/>
      <c r="F29" s="458"/>
      <c r="G29" s="459"/>
      <c r="H29" s="185">
        <f t="shared" si="15"/>
        <v>3900000</v>
      </c>
      <c r="I29" s="186"/>
      <c r="J29" s="4">
        <f>'LIBRO DE PRESUPUESTO'!J633</f>
        <v>211900</v>
      </c>
      <c r="K29" s="187">
        <f t="shared" ref="K29:K35" si="22">L29/H29</f>
        <v>5.4333333333333331E-2</v>
      </c>
      <c r="L29" s="188">
        <f t="shared" si="16"/>
        <v>211900</v>
      </c>
      <c r="M29" s="321">
        <f t="shared" si="17"/>
        <v>211900</v>
      </c>
      <c r="N29" s="189">
        <f t="shared" si="18"/>
        <v>3688100</v>
      </c>
      <c r="O29" s="190">
        <f t="shared" ref="O29:O35" si="23">N29/H29</f>
        <v>0.94566666666666666</v>
      </c>
      <c r="P29" s="188">
        <f t="shared" si="21"/>
        <v>211900</v>
      </c>
      <c r="Q29" s="432">
        <f t="shared" si="19"/>
        <v>0</v>
      </c>
      <c r="R29" s="432">
        <f t="shared" si="20"/>
        <v>0</v>
      </c>
    </row>
    <row r="30" spans="1:18" ht="15" x14ac:dyDescent="0.25">
      <c r="A30" s="496" t="s">
        <v>225</v>
      </c>
      <c r="B30" s="194" t="s">
        <v>74</v>
      </c>
      <c r="C30" s="159">
        <v>52000000</v>
      </c>
      <c r="D30" s="184"/>
      <c r="E30" s="457"/>
      <c r="F30" s="458"/>
      <c r="G30" s="459"/>
      <c r="H30" s="185">
        <f t="shared" si="15"/>
        <v>52000000</v>
      </c>
      <c r="I30" s="186"/>
      <c r="J30" s="205">
        <f>'LIBRO DE PRESUPUESTO'!J649</f>
        <v>4521481</v>
      </c>
      <c r="K30" s="187">
        <f t="shared" si="22"/>
        <v>8.6951557692307696E-2</v>
      </c>
      <c r="L30" s="188">
        <f t="shared" si="16"/>
        <v>4521481</v>
      </c>
      <c r="M30" s="321">
        <f t="shared" si="17"/>
        <v>4521481</v>
      </c>
      <c r="N30" s="189">
        <f t="shared" si="18"/>
        <v>47478519</v>
      </c>
      <c r="O30" s="190">
        <f t="shared" si="23"/>
        <v>0.91304844230769233</v>
      </c>
      <c r="P30" s="188">
        <f t="shared" si="21"/>
        <v>4521481</v>
      </c>
      <c r="Q30" s="432">
        <f t="shared" si="19"/>
        <v>0</v>
      </c>
      <c r="R30" s="432">
        <f t="shared" si="20"/>
        <v>0</v>
      </c>
    </row>
    <row r="31" spans="1:18" ht="15" x14ac:dyDescent="0.25">
      <c r="A31" s="496" t="s">
        <v>226</v>
      </c>
      <c r="B31" s="194" t="s">
        <v>84</v>
      </c>
      <c r="C31" s="159">
        <v>27000000</v>
      </c>
      <c r="D31" s="184"/>
      <c r="E31" s="457"/>
      <c r="F31" s="458"/>
      <c r="G31" s="459"/>
      <c r="H31" s="185">
        <f t="shared" si="15"/>
        <v>27000000</v>
      </c>
      <c r="I31" s="186"/>
      <c r="J31" s="4">
        <f>'LIBRO DE PRESUPUESTO'!J665</f>
        <v>1924900</v>
      </c>
      <c r="K31" s="187">
        <f t="shared" si="22"/>
        <v>7.1292592592592588E-2</v>
      </c>
      <c r="L31" s="188">
        <f t="shared" si="16"/>
        <v>1924900</v>
      </c>
      <c r="M31" s="321">
        <f t="shared" si="17"/>
        <v>1924900</v>
      </c>
      <c r="N31" s="189">
        <f t="shared" si="18"/>
        <v>25075100</v>
      </c>
      <c r="O31" s="190">
        <f t="shared" si="23"/>
        <v>0.92870740740740743</v>
      </c>
      <c r="P31" s="188">
        <f t="shared" si="21"/>
        <v>1924900</v>
      </c>
      <c r="Q31" s="432">
        <f t="shared" si="19"/>
        <v>0</v>
      </c>
      <c r="R31" s="432">
        <f t="shared" si="20"/>
        <v>0</v>
      </c>
    </row>
    <row r="32" spans="1:18" ht="15" x14ac:dyDescent="0.25">
      <c r="A32" s="496" t="s">
        <v>227</v>
      </c>
      <c r="B32" s="194" t="s">
        <v>86</v>
      </c>
      <c r="C32" s="159">
        <v>23000000</v>
      </c>
      <c r="D32" s="184"/>
      <c r="E32" s="457"/>
      <c r="F32" s="458"/>
      <c r="G32" s="459"/>
      <c r="H32" s="185">
        <f t="shared" si="15"/>
        <v>23000000</v>
      </c>
      <c r="I32" s="186"/>
      <c r="J32" s="4">
        <f>'LIBRO DE PRESUPUESTO'!J681</f>
        <v>1443700</v>
      </c>
      <c r="K32" s="187">
        <f t="shared" si="22"/>
        <v>6.2769565217391299E-2</v>
      </c>
      <c r="L32" s="188">
        <f t="shared" si="16"/>
        <v>1443700</v>
      </c>
      <c r="M32" s="321">
        <f t="shared" si="17"/>
        <v>1443700</v>
      </c>
      <c r="N32" s="189">
        <f t="shared" si="18"/>
        <v>21556300</v>
      </c>
      <c r="O32" s="190">
        <f t="shared" si="23"/>
        <v>0.9372304347826087</v>
      </c>
      <c r="P32" s="188">
        <f t="shared" si="21"/>
        <v>1443700</v>
      </c>
      <c r="Q32" s="432">
        <f t="shared" si="19"/>
        <v>0</v>
      </c>
      <c r="R32" s="432">
        <f t="shared" si="20"/>
        <v>0</v>
      </c>
    </row>
    <row r="33" spans="1:18" ht="15" x14ac:dyDescent="0.25">
      <c r="A33" s="496" t="s">
        <v>228</v>
      </c>
      <c r="B33" s="194" t="s">
        <v>88</v>
      </c>
      <c r="C33" s="159">
        <v>4000000</v>
      </c>
      <c r="D33" s="184"/>
      <c r="E33" s="457"/>
      <c r="F33" s="458"/>
      <c r="G33" s="459"/>
      <c r="H33" s="185">
        <f t="shared" si="15"/>
        <v>4000000</v>
      </c>
      <c r="I33" s="186"/>
      <c r="J33" s="4">
        <f>'LIBRO DE PRESUPUESTO'!J697</f>
        <v>241000</v>
      </c>
      <c r="K33" s="187">
        <f t="shared" si="22"/>
        <v>6.0249999999999998E-2</v>
      </c>
      <c r="L33" s="188">
        <f t="shared" si="16"/>
        <v>241000</v>
      </c>
      <c r="M33" s="321">
        <f t="shared" si="17"/>
        <v>241000</v>
      </c>
      <c r="N33" s="189">
        <f t="shared" si="18"/>
        <v>3759000</v>
      </c>
      <c r="O33" s="190">
        <f t="shared" si="23"/>
        <v>0.93974999999999997</v>
      </c>
      <c r="P33" s="188">
        <f t="shared" si="21"/>
        <v>241000</v>
      </c>
      <c r="Q33" s="432">
        <f t="shared" si="19"/>
        <v>0</v>
      </c>
      <c r="R33" s="432">
        <f t="shared" si="20"/>
        <v>0</v>
      </c>
    </row>
    <row r="34" spans="1:18" ht="15" x14ac:dyDescent="0.25">
      <c r="A34" s="496" t="s">
        <v>229</v>
      </c>
      <c r="B34" s="194" t="s">
        <v>90</v>
      </c>
      <c r="C34" s="159">
        <v>4000000</v>
      </c>
      <c r="D34" s="184"/>
      <c r="E34" s="457"/>
      <c r="F34" s="458"/>
      <c r="G34" s="459"/>
      <c r="H34" s="185">
        <f t="shared" si="15"/>
        <v>4000000</v>
      </c>
      <c r="I34" s="186"/>
      <c r="J34" s="4">
        <f>'LIBRO DE PRESUPUESTO'!J712</f>
        <v>241000</v>
      </c>
      <c r="K34" s="187">
        <f t="shared" si="22"/>
        <v>6.0249999999999998E-2</v>
      </c>
      <c r="L34" s="188">
        <f t="shared" si="16"/>
        <v>241000</v>
      </c>
      <c r="M34" s="321">
        <f t="shared" si="17"/>
        <v>241000</v>
      </c>
      <c r="N34" s="189">
        <f t="shared" si="18"/>
        <v>3759000</v>
      </c>
      <c r="O34" s="190">
        <f t="shared" si="23"/>
        <v>0.93974999999999997</v>
      </c>
      <c r="P34" s="188">
        <f t="shared" si="21"/>
        <v>241000</v>
      </c>
      <c r="Q34" s="432">
        <f t="shared" si="19"/>
        <v>0</v>
      </c>
      <c r="R34" s="432">
        <f t="shared" si="20"/>
        <v>0</v>
      </c>
    </row>
    <row r="35" spans="1:18" ht="15" x14ac:dyDescent="0.25">
      <c r="A35" s="496" t="s">
        <v>230</v>
      </c>
      <c r="B35" s="194" t="s">
        <v>92</v>
      </c>
      <c r="C35" s="159">
        <v>7200000</v>
      </c>
      <c r="D35" s="184"/>
      <c r="E35" s="457"/>
      <c r="F35" s="458"/>
      <c r="G35" s="459"/>
      <c r="H35" s="185">
        <f t="shared" si="15"/>
        <v>7200000</v>
      </c>
      <c r="I35" s="186"/>
      <c r="J35" s="4">
        <f>'LIBRO DE PRESUPUESTO'!J732</f>
        <v>481600</v>
      </c>
      <c r="K35" s="187">
        <f t="shared" si="22"/>
        <v>6.6888888888888887E-2</v>
      </c>
      <c r="L35" s="188">
        <f t="shared" si="16"/>
        <v>481600</v>
      </c>
      <c r="M35" s="321">
        <f t="shared" si="17"/>
        <v>481600</v>
      </c>
      <c r="N35" s="189">
        <f t="shared" si="18"/>
        <v>6718400</v>
      </c>
      <c r="O35" s="190">
        <f t="shared" si="23"/>
        <v>0.93311111111111111</v>
      </c>
      <c r="P35" s="188">
        <f t="shared" si="21"/>
        <v>481600</v>
      </c>
      <c r="Q35" s="432">
        <f t="shared" si="19"/>
        <v>0</v>
      </c>
      <c r="R35" s="432">
        <f t="shared" si="20"/>
        <v>0</v>
      </c>
    </row>
    <row r="36" spans="1:18" ht="15" x14ac:dyDescent="0.25">
      <c r="A36" s="181">
        <v>202110410</v>
      </c>
      <c r="B36" s="194" t="s">
        <v>94</v>
      </c>
      <c r="C36" s="159">
        <v>0</v>
      </c>
      <c r="D36" s="186"/>
      <c r="E36" s="457"/>
      <c r="F36" s="458"/>
      <c r="G36" s="459"/>
      <c r="H36" s="185">
        <f t="shared" si="15"/>
        <v>0</v>
      </c>
      <c r="I36" s="186"/>
      <c r="J36" s="186">
        <v>0</v>
      </c>
      <c r="K36" s="187">
        <v>0</v>
      </c>
      <c r="L36" s="196">
        <f t="shared" si="16"/>
        <v>0</v>
      </c>
      <c r="M36" s="321">
        <f t="shared" si="17"/>
        <v>0</v>
      </c>
      <c r="N36" s="189">
        <f t="shared" si="18"/>
        <v>0</v>
      </c>
      <c r="O36" s="190">
        <v>0</v>
      </c>
      <c r="P36" s="188">
        <f t="shared" si="21"/>
        <v>0</v>
      </c>
      <c r="Q36" s="432">
        <f t="shared" si="19"/>
        <v>0</v>
      </c>
      <c r="R36" s="432">
        <f t="shared" si="20"/>
        <v>0</v>
      </c>
    </row>
    <row r="37" spans="1:18" s="192" customFormat="1" ht="27.75" customHeight="1" x14ac:dyDescent="0.2">
      <c r="A37" s="498">
        <v>20210201</v>
      </c>
      <c r="B37" s="195" t="s">
        <v>31</v>
      </c>
      <c r="C37" s="176">
        <f t="shared" ref="C37:J37" si="24">SUM(C38:C41)</f>
        <v>27300000</v>
      </c>
      <c r="D37" s="176">
        <f t="shared" si="24"/>
        <v>0</v>
      </c>
      <c r="E37" s="176">
        <f t="shared" si="24"/>
        <v>0</v>
      </c>
      <c r="F37" s="176">
        <f t="shared" si="24"/>
        <v>0</v>
      </c>
      <c r="G37" s="176">
        <f t="shared" si="24"/>
        <v>0</v>
      </c>
      <c r="H37" s="176">
        <f t="shared" si="24"/>
        <v>27300000</v>
      </c>
      <c r="I37" s="176">
        <f t="shared" si="24"/>
        <v>0</v>
      </c>
      <c r="J37" s="176">
        <f t="shared" si="24"/>
        <v>1300000</v>
      </c>
      <c r="K37" s="177">
        <f>L37/H37</f>
        <v>4.7619047619047616E-2</v>
      </c>
      <c r="L37" s="191">
        <f>SUM(L38:L41)</f>
        <v>1300000</v>
      </c>
      <c r="M37" s="191">
        <f>SUM(M38:M41)</f>
        <v>1300000</v>
      </c>
      <c r="N37" s="176">
        <f>SUM(N38:N41)</f>
        <v>26000000</v>
      </c>
      <c r="O37" s="179">
        <f>N37/H37</f>
        <v>0.95238095238095233</v>
      </c>
      <c r="P37" s="176">
        <f>SUM(P38:P41)</f>
        <v>1300000</v>
      </c>
      <c r="Q37" s="176">
        <f>SUM(Q38:Q41)</f>
        <v>0</v>
      </c>
      <c r="R37" s="176">
        <f t="shared" si="20"/>
        <v>0</v>
      </c>
    </row>
    <row r="38" spans="1:18" ht="15" x14ac:dyDescent="0.25">
      <c r="A38" s="496" t="s">
        <v>231</v>
      </c>
      <c r="B38" s="194" t="s">
        <v>33</v>
      </c>
      <c r="C38" s="159">
        <v>6000000</v>
      </c>
      <c r="D38" s="186"/>
      <c r="E38" s="457"/>
      <c r="F38" s="458"/>
      <c r="G38" s="459"/>
      <c r="H38" s="185">
        <f>C38-D38+E38+F38-G38</f>
        <v>6000000</v>
      </c>
      <c r="I38" s="186"/>
      <c r="J38" s="2">
        <v>0</v>
      </c>
      <c r="K38" s="187">
        <v>0</v>
      </c>
      <c r="L38" s="188">
        <f>J38+I38</f>
        <v>0</v>
      </c>
      <c r="M38" s="321">
        <f>I38+J38</f>
        <v>0</v>
      </c>
      <c r="N38" s="189">
        <f>H38-L38</f>
        <v>6000000</v>
      </c>
      <c r="O38" s="190">
        <v>0</v>
      </c>
      <c r="P38" s="432">
        <f>M38</f>
        <v>0</v>
      </c>
      <c r="Q38" s="432">
        <f>M38-P38</f>
        <v>0</v>
      </c>
      <c r="R38" s="432">
        <f t="shared" si="20"/>
        <v>0</v>
      </c>
    </row>
    <row r="39" spans="1:18" ht="15" x14ac:dyDescent="0.25">
      <c r="A39" s="496" t="s">
        <v>232</v>
      </c>
      <c r="B39" s="197" t="s">
        <v>35</v>
      </c>
      <c r="C39" s="159">
        <v>20000000</v>
      </c>
      <c r="D39" s="186"/>
      <c r="E39" s="457"/>
      <c r="F39" s="458"/>
      <c r="G39" s="459"/>
      <c r="H39" s="185">
        <f>C39-D39+E39+F39-G39</f>
        <v>20000000</v>
      </c>
      <c r="I39" s="186"/>
      <c r="J39" s="186">
        <f>'LIBRO DE PRESUPUESTO'!J228</f>
        <v>1300000</v>
      </c>
      <c r="K39" s="187">
        <f>L39/H39</f>
        <v>6.5000000000000002E-2</v>
      </c>
      <c r="L39" s="188">
        <f>J39+I39</f>
        <v>1300000</v>
      </c>
      <c r="M39" s="321">
        <f>I39+J39</f>
        <v>1300000</v>
      </c>
      <c r="N39" s="189">
        <f>H39-L39</f>
        <v>18700000</v>
      </c>
      <c r="O39" s="198">
        <f>N39/H39</f>
        <v>0.93500000000000005</v>
      </c>
      <c r="P39" s="432">
        <f>M39</f>
        <v>1300000</v>
      </c>
      <c r="Q39" s="432">
        <f>M39-P39</f>
        <v>0</v>
      </c>
      <c r="R39" s="432">
        <f t="shared" si="20"/>
        <v>0</v>
      </c>
    </row>
    <row r="40" spans="1:18" ht="15" x14ac:dyDescent="0.25">
      <c r="A40" s="496" t="s">
        <v>233</v>
      </c>
      <c r="B40" s="194" t="s">
        <v>37</v>
      </c>
      <c r="C40" s="159">
        <v>1300000</v>
      </c>
      <c r="D40" s="186"/>
      <c r="E40" s="457"/>
      <c r="F40" s="458"/>
      <c r="G40" s="459"/>
      <c r="H40" s="185">
        <f>C40-D40+E40+F40-G40</f>
        <v>1300000</v>
      </c>
      <c r="I40" s="186"/>
      <c r="J40" s="186">
        <v>0</v>
      </c>
      <c r="K40" s="187">
        <f>L40/H40</f>
        <v>0</v>
      </c>
      <c r="L40" s="188">
        <f>J40+I40</f>
        <v>0</v>
      </c>
      <c r="M40" s="321">
        <f>I40+J40</f>
        <v>0</v>
      </c>
      <c r="N40" s="189">
        <f>H40-L40</f>
        <v>1300000</v>
      </c>
      <c r="O40" s="198">
        <f>N40/H40</f>
        <v>1</v>
      </c>
      <c r="P40" s="188">
        <f>L40</f>
        <v>0</v>
      </c>
      <c r="Q40" s="432">
        <f>M40-P40</f>
        <v>0</v>
      </c>
      <c r="R40" s="432">
        <f t="shared" si="20"/>
        <v>0</v>
      </c>
    </row>
    <row r="41" spans="1:18" ht="15" x14ac:dyDescent="0.25">
      <c r="A41" s="181">
        <v>202120105</v>
      </c>
      <c r="B41" s="194" t="s">
        <v>39</v>
      </c>
      <c r="C41" s="159">
        <v>0</v>
      </c>
      <c r="D41" s="186"/>
      <c r="E41" s="457"/>
      <c r="F41" s="458"/>
      <c r="G41" s="459"/>
      <c r="H41" s="185">
        <f>C41-D41+E41+F41-G41</f>
        <v>0</v>
      </c>
      <c r="I41" s="186"/>
      <c r="J41" s="186">
        <v>0</v>
      </c>
      <c r="K41" s="187">
        <v>0</v>
      </c>
      <c r="L41" s="196">
        <f>J41+I41</f>
        <v>0</v>
      </c>
      <c r="M41" s="321">
        <f>I41+J41</f>
        <v>0</v>
      </c>
      <c r="N41" s="189">
        <f>H41-L41</f>
        <v>0</v>
      </c>
      <c r="O41" s="198">
        <v>0</v>
      </c>
      <c r="P41" s="188">
        <f>L41</f>
        <v>0</v>
      </c>
      <c r="Q41" s="432">
        <f>M41-P41</f>
        <v>0</v>
      </c>
      <c r="R41" s="432">
        <f t="shared" si="20"/>
        <v>0</v>
      </c>
    </row>
    <row r="42" spans="1:18" s="192" customFormat="1" ht="27.75" customHeight="1" x14ac:dyDescent="0.2">
      <c r="A42" s="498" t="s">
        <v>235</v>
      </c>
      <c r="B42" s="195" t="s">
        <v>41</v>
      </c>
      <c r="C42" s="176">
        <f t="shared" ref="C42:J42" si="25">SUM(C43:C58)</f>
        <v>158227607</v>
      </c>
      <c r="D42" s="176">
        <f t="shared" si="25"/>
        <v>0</v>
      </c>
      <c r="E42" s="176">
        <f t="shared" si="25"/>
        <v>0</v>
      </c>
      <c r="F42" s="176">
        <f t="shared" si="25"/>
        <v>0</v>
      </c>
      <c r="G42" s="176">
        <f t="shared" si="25"/>
        <v>0</v>
      </c>
      <c r="H42" s="176">
        <f t="shared" si="25"/>
        <v>158227607</v>
      </c>
      <c r="I42" s="176">
        <f t="shared" si="25"/>
        <v>0</v>
      </c>
      <c r="J42" s="176">
        <f t="shared" si="25"/>
        <v>5692042</v>
      </c>
      <c r="K42" s="177">
        <f t="shared" ref="K42:K49" si="26">L42/H42</f>
        <v>3.5973760255376928E-2</v>
      </c>
      <c r="L42" s="178">
        <f>SUM(L43:L58)</f>
        <v>5692042</v>
      </c>
      <c r="M42" s="178">
        <f>SUM(M43:M58)</f>
        <v>5692042</v>
      </c>
      <c r="N42" s="191">
        <f>SUM(N43:N58)</f>
        <v>152535565</v>
      </c>
      <c r="O42" s="179">
        <f t="shared" ref="O42:O47" si="27">N42/H42</f>
        <v>0.96402623974462309</v>
      </c>
      <c r="P42" s="191">
        <f>SUM(P43:P58)</f>
        <v>5692042</v>
      </c>
      <c r="Q42" s="191">
        <f>SUM(Q43:Q58)</f>
        <v>0</v>
      </c>
      <c r="R42" s="191">
        <f t="shared" si="20"/>
        <v>0</v>
      </c>
    </row>
    <row r="43" spans="1:18" ht="15.75" x14ac:dyDescent="0.25">
      <c r="A43" s="496" t="s">
        <v>234</v>
      </c>
      <c r="B43" s="194" t="s">
        <v>43</v>
      </c>
      <c r="C43" s="159">
        <v>9400000</v>
      </c>
      <c r="D43" s="186"/>
      <c r="E43" s="457"/>
      <c r="F43" s="458"/>
      <c r="G43" s="459"/>
      <c r="H43" s="185">
        <f t="shared" ref="H43:H58" si="28">C43-D43+E43+F43-G43</f>
        <v>9400000</v>
      </c>
      <c r="I43" s="186"/>
      <c r="J43" s="186">
        <f>'LIBRO DE PRESUPUESTO'!J259</f>
        <v>1400000</v>
      </c>
      <c r="K43" s="187">
        <f t="shared" si="26"/>
        <v>0.14893617021276595</v>
      </c>
      <c r="L43" s="188">
        <f t="shared" ref="L43:L58" si="29">J43+I43</f>
        <v>1400000</v>
      </c>
      <c r="M43" s="434">
        <f t="shared" ref="M43:M60" si="30">I43+J43</f>
        <v>1400000</v>
      </c>
      <c r="N43" s="437">
        <f t="shared" ref="N43:N58" si="31">H43-L43</f>
        <v>8000000</v>
      </c>
      <c r="O43" s="436">
        <f t="shared" si="27"/>
        <v>0.85106382978723405</v>
      </c>
      <c r="P43" s="188">
        <f t="shared" ref="P43:P58" si="32">L43</f>
        <v>1400000</v>
      </c>
      <c r="Q43" s="432">
        <f t="shared" ref="Q43:Q58" si="33">M43-P43</f>
        <v>0</v>
      </c>
      <c r="R43" s="435">
        <f>SUM(R44:R47)</f>
        <v>0</v>
      </c>
    </row>
    <row r="44" spans="1:18" ht="15" x14ac:dyDescent="0.25">
      <c r="A44" s="496" t="s">
        <v>236</v>
      </c>
      <c r="B44" s="194" t="s">
        <v>44</v>
      </c>
      <c r="C44" s="159">
        <v>73027607</v>
      </c>
      <c r="D44" s="186"/>
      <c r="E44" s="457"/>
      <c r="F44" s="458"/>
      <c r="G44" s="459"/>
      <c r="H44" s="185">
        <f t="shared" si="28"/>
        <v>73027607</v>
      </c>
      <c r="I44" s="186"/>
      <c r="J44" s="186">
        <f>SUM('LIBRO DE PRESUPUESTO'!J281:J286)</f>
        <v>2642664</v>
      </c>
      <c r="K44" s="187">
        <f t="shared" si="26"/>
        <v>3.6187191509643744E-2</v>
      </c>
      <c r="L44" s="188">
        <f t="shared" si="29"/>
        <v>2642664</v>
      </c>
      <c r="M44" s="321">
        <f t="shared" si="30"/>
        <v>2642664</v>
      </c>
      <c r="N44" s="189">
        <f t="shared" si="31"/>
        <v>70384943</v>
      </c>
      <c r="O44" s="198">
        <f t="shared" si="27"/>
        <v>0.96381280849035622</v>
      </c>
      <c r="P44" s="188">
        <f t="shared" si="32"/>
        <v>2642664</v>
      </c>
      <c r="Q44" s="432">
        <f t="shared" si="33"/>
        <v>0</v>
      </c>
      <c r="R44" s="432">
        <f>L44-M44</f>
        <v>0</v>
      </c>
    </row>
    <row r="45" spans="1:18" ht="15" x14ac:dyDescent="0.25">
      <c r="A45" s="496" t="s">
        <v>237</v>
      </c>
      <c r="B45" s="194" t="s">
        <v>46</v>
      </c>
      <c r="C45" s="159">
        <v>2000000</v>
      </c>
      <c r="D45" s="186"/>
      <c r="E45" s="457"/>
      <c r="F45" s="458"/>
      <c r="G45" s="459"/>
      <c r="H45" s="185">
        <f t="shared" si="28"/>
        <v>2000000</v>
      </c>
      <c r="I45" s="186"/>
      <c r="J45" s="4">
        <f>'LIBRO DE PRESUPUESTO'!J379</f>
        <v>300000</v>
      </c>
      <c r="K45" s="187">
        <f t="shared" si="26"/>
        <v>0.15</v>
      </c>
      <c r="L45" s="188">
        <f t="shared" si="29"/>
        <v>300000</v>
      </c>
      <c r="M45" s="321">
        <f t="shared" si="30"/>
        <v>300000</v>
      </c>
      <c r="N45" s="189">
        <f t="shared" si="31"/>
        <v>1700000</v>
      </c>
      <c r="O45" s="198">
        <f t="shared" si="27"/>
        <v>0.85</v>
      </c>
      <c r="P45" s="188">
        <f t="shared" si="32"/>
        <v>300000</v>
      </c>
      <c r="Q45" s="432">
        <f t="shared" si="33"/>
        <v>0</v>
      </c>
      <c r="R45" s="432">
        <f>L45-M45</f>
        <v>0</v>
      </c>
    </row>
    <row r="46" spans="1:18" ht="15" x14ac:dyDescent="0.25">
      <c r="A46" s="496" t="s">
        <v>238</v>
      </c>
      <c r="B46" s="194" t="s">
        <v>48</v>
      </c>
      <c r="C46" s="159">
        <f>750000*12</f>
        <v>9000000</v>
      </c>
      <c r="D46" s="186"/>
      <c r="E46" s="457"/>
      <c r="F46" s="458"/>
      <c r="G46" s="459"/>
      <c r="H46" s="185">
        <f t="shared" si="28"/>
        <v>9000000</v>
      </c>
      <c r="I46" s="186"/>
      <c r="J46" s="4">
        <f>'LIBRO DE PRESUPUESTO'!J399</f>
        <v>784000</v>
      </c>
      <c r="K46" s="187">
        <f t="shared" si="26"/>
        <v>8.7111111111111111E-2</v>
      </c>
      <c r="L46" s="188">
        <f t="shared" si="29"/>
        <v>784000</v>
      </c>
      <c r="M46" s="321">
        <f t="shared" si="30"/>
        <v>784000</v>
      </c>
      <c r="N46" s="189">
        <f t="shared" si="31"/>
        <v>8216000</v>
      </c>
      <c r="O46" s="190">
        <f t="shared" si="27"/>
        <v>0.91288888888888886</v>
      </c>
      <c r="P46" s="188">
        <f t="shared" si="32"/>
        <v>784000</v>
      </c>
      <c r="Q46" s="432">
        <f t="shared" si="33"/>
        <v>0</v>
      </c>
      <c r="R46" s="432">
        <f>L46-M46</f>
        <v>0</v>
      </c>
    </row>
    <row r="47" spans="1:18" ht="15" x14ac:dyDescent="0.25">
      <c r="A47" s="496" t="s">
        <v>239</v>
      </c>
      <c r="B47" s="194" t="s">
        <v>50</v>
      </c>
      <c r="C47" s="159">
        <v>4500000</v>
      </c>
      <c r="D47" s="186"/>
      <c r="E47" s="457"/>
      <c r="F47" s="458"/>
      <c r="G47" s="459"/>
      <c r="H47" s="185">
        <f t="shared" si="28"/>
        <v>4500000</v>
      </c>
      <c r="I47" s="186"/>
      <c r="J47" s="4">
        <f>'LIBRO DE PRESUPUESTO'!J413</f>
        <v>190400</v>
      </c>
      <c r="K47" s="187">
        <f t="shared" si="26"/>
        <v>4.2311111111111112E-2</v>
      </c>
      <c r="L47" s="188">
        <f t="shared" si="29"/>
        <v>190400</v>
      </c>
      <c r="M47" s="321">
        <f t="shared" si="30"/>
        <v>190400</v>
      </c>
      <c r="N47" s="189">
        <f t="shared" si="31"/>
        <v>4309600</v>
      </c>
      <c r="O47" s="190">
        <f t="shared" si="27"/>
        <v>0.95768888888888892</v>
      </c>
      <c r="P47" s="188">
        <f t="shared" si="32"/>
        <v>190400</v>
      </c>
      <c r="Q47" s="432">
        <f t="shared" si="33"/>
        <v>0</v>
      </c>
      <c r="R47" s="432">
        <f>L47-M47</f>
        <v>0</v>
      </c>
    </row>
    <row r="48" spans="1:18" ht="15.75" x14ac:dyDescent="0.25">
      <c r="A48" s="496" t="s">
        <v>240</v>
      </c>
      <c r="B48" s="194" t="s">
        <v>52</v>
      </c>
      <c r="C48" s="159">
        <v>2500000</v>
      </c>
      <c r="D48" s="186"/>
      <c r="E48" s="457"/>
      <c r="F48" s="458"/>
      <c r="G48" s="459"/>
      <c r="H48" s="185">
        <f t="shared" si="28"/>
        <v>2500000</v>
      </c>
      <c r="I48" s="186"/>
      <c r="J48" s="2">
        <f>'LIBRO DE PRESUPUESTO'!J451</f>
        <v>56600</v>
      </c>
      <c r="K48" s="187">
        <f t="shared" si="26"/>
        <v>2.264E-2</v>
      </c>
      <c r="L48" s="188">
        <f t="shared" si="29"/>
        <v>56600</v>
      </c>
      <c r="M48" s="434">
        <f t="shared" si="30"/>
        <v>56600</v>
      </c>
      <c r="N48" s="189">
        <f t="shared" si="31"/>
        <v>2443400</v>
      </c>
      <c r="O48" s="190">
        <v>0</v>
      </c>
      <c r="P48" s="188">
        <f t="shared" si="32"/>
        <v>56600</v>
      </c>
      <c r="Q48" s="432">
        <f t="shared" si="33"/>
        <v>0</v>
      </c>
      <c r="R48" s="433">
        <f>SUM(R49:R58)</f>
        <v>0</v>
      </c>
    </row>
    <row r="49" spans="1:18" ht="15" x14ac:dyDescent="0.25">
      <c r="A49" s="496" t="s">
        <v>241</v>
      </c>
      <c r="B49" s="197" t="s">
        <v>54</v>
      </c>
      <c r="C49" s="159">
        <v>1500000</v>
      </c>
      <c r="D49" s="186"/>
      <c r="E49" s="457"/>
      <c r="F49" s="458"/>
      <c r="G49" s="459"/>
      <c r="H49" s="185">
        <f t="shared" si="28"/>
        <v>1500000</v>
      </c>
      <c r="I49" s="186"/>
      <c r="J49" s="186">
        <f>'LIBRO DE PRESUPUESTO'!J482</f>
        <v>200000</v>
      </c>
      <c r="K49" s="187">
        <f t="shared" si="26"/>
        <v>0.13333333333333333</v>
      </c>
      <c r="L49" s="188">
        <f t="shared" si="29"/>
        <v>200000</v>
      </c>
      <c r="M49" s="321">
        <f t="shared" si="30"/>
        <v>200000</v>
      </c>
      <c r="N49" s="189">
        <f t="shared" si="31"/>
        <v>1300000</v>
      </c>
      <c r="O49" s="190">
        <f>N49/H49</f>
        <v>0.8666666666666667</v>
      </c>
      <c r="P49" s="188">
        <f t="shared" si="32"/>
        <v>200000</v>
      </c>
      <c r="Q49" s="432">
        <f t="shared" si="33"/>
        <v>0</v>
      </c>
      <c r="R49" s="432">
        <f t="shared" ref="R49:R58" si="34">L49-M49</f>
        <v>0</v>
      </c>
    </row>
    <row r="50" spans="1:18" ht="15" x14ac:dyDescent="0.25">
      <c r="A50" s="181">
        <v>202120208</v>
      </c>
      <c r="B50" s="194" t="s">
        <v>56</v>
      </c>
      <c r="C50" s="159">
        <v>0</v>
      </c>
      <c r="D50" s="186"/>
      <c r="E50" s="457"/>
      <c r="F50" s="458"/>
      <c r="G50" s="459"/>
      <c r="H50" s="185">
        <f t="shared" si="28"/>
        <v>0</v>
      </c>
      <c r="I50" s="186"/>
      <c r="J50" s="186">
        <v>0</v>
      </c>
      <c r="K50" s="187">
        <v>0</v>
      </c>
      <c r="L50" s="188">
        <f t="shared" si="29"/>
        <v>0</v>
      </c>
      <c r="M50" s="321">
        <f t="shared" si="30"/>
        <v>0</v>
      </c>
      <c r="N50" s="189">
        <f t="shared" si="31"/>
        <v>0</v>
      </c>
      <c r="O50" s="190">
        <v>0</v>
      </c>
      <c r="P50" s="188">
        <f t="shared" si="32"/>
        <v>0</v>
      </c>
      <c r="Q50" s="432">
        <f t="shared" si="33"/>
        <v>0</v>
      </c>
      <c r="R50" s="432">
        <f t="shared" si="34"/>
        <v>0</v>
      </c>
    </row>
    <row r="51" spans="1:18" ht="15" x14ac:dyDescent="0.25">
      <c r="A51" s="496" t="s">
        <v>242</v>
      </c>
      <c r="B51" s="194" t="s">
        <v>58</v>
      </c>
      <c r="C51" s="159">
        <v>5000000</v>
      </c>
      <c r="D51" s="186"/>
      <c r="E51" s="457"/>
      <c r="F51" s="458"/>
      <c r="G51" s="459"/>
      <c r="H51" s="185">
        <f t="shared" si="28"/>
        <v>5000000</v>
      </c>
      <c r="I51" s="186"/>
      <c r="J51" s="6">
        <f>'LIBRO DE PRESUPUESTO'!J499</f>
        <v>118378</v>
      </c>
      <c r="K51" s="187">
        <f>L51/H51</f>
        <v>2.3675600000000002E-2</v>
      </c>
      <c r="L51" s="188">
        <f t="shared" si="29"/>
        <v>118378</v>
      </c>
      <c r="M51" s="321">
        <f t="shared" si="30"/>
        <v>118378</v>
      </c>
      <c r="N51" s="189">
        <f t="shared" si="31"/>
        <v>4881622</v>
      </c>
      <c r="O51" s="190">
        <f>N51/H51</f>
        <v>0.97632439999999998</v>
      </c>
      <c r="P51" s="188">
        <f t="shared" si="32"/>
        <v>118378</v>
      </c>
      <c r="Q51" s="432">
        <f t="shared" si="33"/>
        <v>0</v>
      </c>
      <c r="R51" s="432">
        <f t="shared" si="34"/>
        <v>0</v>
      </c>
    </row>
    <row r="52" spans="1:18" ht="15" x14ac:dyDescent="0.25">
      <c r="A52" s="496" t="s">
        <v>243</v>
      </c>
      <c r="B52" s="197" t="s">
        <v>60</v>
      </c>
      <c r="C52" s="159">
        <v>24000000</v>
      </c>
      <c r="D52" s="186"/>
      <c r="E52" s="457"/>
      <c r="F52" s="458"/>
      <c r="G52" s="459"/>
      <c r="H52" s="185">
        <f t="shared" si="28"/>
        <v>24000000</v>
      </c>
      <c r="I52" s="186"/>
      <c r="J52" s="6">
        <v>0</v>
      </c>
      <c r="K52" s="187">
        <f>L52/H52</f>
        <v>0</v>
      </c>
      <c r="L52" s="188">
        <f t="shared" si="29"/>
        <v>0</v>
      </c>
      <c r="M52" s="321">
        <f t="shared" si="30"/>
        <v>0</v>
      </c>
      <c r="N52" s="189">
        <f t="shared" si="31"/>
        <v>24000000</v>
      </c>
      <c r="O52" s="190">
        <f>N52/H52</f>
        <v>1</v>
      </c>
      <c r="P52" s="188">
        <f t="shared" si="32"/>
        <v>0</v>
      </c>
      <c r="Q52" s="432">
        <f t="shared" si="33"/>
        <v>0</v>
      </c>
      <c r="R52" s="432">
        <f t="shared" si="34"/>
        <v>0</v>
      </c>
    </row>
    <row r="53" spans="1:18" ht="15" x14ac:dyDescent="0.25">
      <c r="A53" s="496" t="s">
        <v>244</v>
      </c>
      <c r="B53" s="194" t="s">
        <v>62</v>
      </c>
      <c r="C53" s="159">
        <v>4000000</v>
      </c>
      <c r="D53" s="186"/>
      <c r="E53" s="457"/>
      <c r="F53" s="458"/>
      <c r="G53" s="459"/>
      <c r="H53" s="185">
        <f t="shared" si="28"/>
        <v>4000000</v>
      </c>
      <c r="I53" s="186"/>
      <c r="J53" s="6">
        <v>0</v>
      </c>
      <c r="K53" s="187">
        <v>0</v>
      </c>
      <c r="L53" s="188">
        <f t="shared" si="29"/>
        <v>0</v>
      </c>
      <c r="M53" s="321">
        <f t="shared" si="30"/>
        <v>0</v>
      </c>
      <c r="N53" s="189">
        <f t="shared" si="31"/>
        <v>4000000</v>
      </c>
      <c r="O53" s="190">
        <v>0</v>
      </c>
      <c r="P53" s="188">
        <f t="shared" si="32"/>
        <v>0</v>
      </c>
      <c r="Q53" s="432">
        <f t="shared" si="33"/>
        <v>0</v>
      </c>
      <c r="R53" s="432">
        <f t="shared" si="34"/>
        <v>0</v>
      </c>
    </row>
    <row r="54" spans="1:18" ht="15" x14ac:dyDescent="0.25">
      <c r="A54" s="496" t="s">
        <v>245</v>
      </c>
      <c r="B54" s="194" t="s">
        <v>64</v>
      </c>
      <c r="C54" s="159">
        <v>22000000</v>
      </c>
      <c r="D54" s="186"/>
      <c r="E54" s="457"/>
      <c r="F54" s="458"/>
      <c r="G54" s="459"/>
      <c r="H54" s="185">
        <f t="shared" si="28"/>
        <v>22000000</v>
      </c>
      <c r="I54" s="186"/>
      <c r="J54" s="186">
        <v>0</v>
      </c>
      <c r="K54" s="187">
        <v>0</v>
      </c>
      <c r="L54" s="188">
        <f t="shared" si="29"/>
        <v>0</v>
      </c>
      <c r="M54" s="321">
        <f t="shared" si="30"/>
        <v>0</v>
      </c>
      <c r="N54" s="189">
        <f t="shared" si="31"/>
        <v>22000000</v>
      </c>
      <c r="O54" s="190">
        <v>0</v>
      </c>
      <c r="P54" s="188">
        <f t="shared" si="32"/>
        <v>0</v>
      </c>
      <c r="Q54" s="432">
        <f t="shared" si="33"/>
        <v>0</v>
      </c>
      <c r="R54" s="432">
        <f t="shared" si="34"/>
        <v>0</v>
      </c>
    </row>
    <row r="55" spans="1:18" ht="15" x14ac:dyDescent="0.25">
      <c r="A55" s="181">
        <v>2021020213</v>
      </c>
      <c r="B55" s="194" t="s">
        <v>65</v>
      </c>
      <c r="C55" s="159">
        <v>0</v>
      </c>
      <c r="D55" s="186"/>
      <c r="E55" s="457"/>
      <c r="F55" s="458"/>
      <c r="G55" s="459"/>
      <c r="H55" s="185">
        <f t="shared" si="28"/>
        <v>0</v>
      </c>
      <c r="I55" s="186"/>
      <c r="J55" s="186">
        <v>0</v>
      </c>
      <c r="K55" s="187">
        <v>0</v>
      </c>
      <c r="L55" s="188">
        <f t="shared" si="29"/>
        <v>0</v>
      </c>
      <c r="M55" s="321">
        <f t="shared" si="30"/>
        <v>0</v>
      </c>
      <c r="N55" s="189">
        <f t="shared" si="31"/>
        <v>0</v>
      </c>
      <c r="O55" s="190">
        <v>0</v>
      </c>
      <c r="P55" s="188">
        <f t="shared" si="32"/>
        <v>0</v>
      </c>
      <c r="Q55" s="432">
        <f t="shared" si="33"/>
        <v>0</v>
      </c>
      <c r="R55" s="432">
        <f t="shared" si="34"/>
        <v>0</v>
      </c>
    </row>
    <row r="56" spans="1:18" ht="15" x14ac:dyDescent="0.25">
      <c r="A56" s="181">
        <v>2021020214</v>
      </c>
      <c r="B56" s="194" t="s">
        <v>67</v>
      </c>
      <c r="C56" s="159">
        <v>0</v>
      </c>
      <c r="D56" s="186"/>
      <c r="E56" s="457"/>
      <c r="F56" s="458"/>
      <c r="G56" s="459"/>
      <c r="H56" s="185">
        <f t="shared" si="28"/>
        <v>0</v>
      </c>
      <c r="I56" s="186"/>
      <c r="J56" s="186">
        <v>0</v>
      </c>
      <c r="K56" s="187">
        <v>0</v>
      </c>
      <c r="L56" s="188">
        <f t="shared" si="29"/>
        <v>0</v>
      </c>
      <c r="M56" s="321">
        <f t="shared" si="30"/>
        <v>0</v>
      </c>
      <c r="N56" s="189">
        <f t="shared" si="31"/>
        <v>0</v>
      </c>
      <c r="O56" s="190">
        <v>0</v>
      </c>
      <c r="P56" s="188">
        <f t="shared" si="32"/>
        <v>0</v>
      </c>
      <c r="Q56" s="432">
        <f t="shared" si="33"/>
        <v>0</v>
      </c>
      <c r="R56" s="432">
        <f t="shared" si="34"/>
        <v>0</v>
      </c>
    </row>
    <row r="57" spans="1:18" ht="15" x14ac:dyDescent="0.25">
      <c r="A57" s="496" t="s">
        <v>246</v>
      </c>
      <c r="B57" s="194" t="s">
        <v>97</v>
      </c>
      <c r="C57" s="159">
        <v>1300000</v>
      </c>
      <c r="D57" s="186"/>
      <c r="E57" s="457"/>
      <c r="F57" s="458"/>
      <c r="G57" s="459"/>
      <c r="H57" s="185">
        <f t="shared" si="28"/>
        <v>1300000</v>
      </c>
      <c r="I57" s="186"/>
      <c r="J57" s="186">
        <v>0</v>
      </c>
      <c r="K57" s="187">
        <f>L57/H57</f>
        <v>0</v>
      </c>
      <c r="L57" s="188">
        <f t="shared" si="29"/>
        <v>0</v>
      </c>
      <c r="M57" s="321">
        <f t="shared" si="30"/>
        <v>0</v>
      </c>
      <c r="N57" s="189">
        <f t="shared" si="31"/>
        <v>1300000</v>
      </c>
      <c r="O57" s="190">
        <f>N57/H57</f>
        <v>1</v>
      </c>
      <c r="P57" s="188">
        <f t="shared" si="32"/>
        <v>0</v>
      </c>
      <c r="Q57" s="432">
        <f t="shared" si="33"/>
        <v>0</v>
      </c>
      <c r="R57" s="432">
        <f t="shared" si="34"/>
        <v>0</v>
      </c>
    </row>
    <row r="58" spans="1:18" ht="15" x14ac:dyDescent="0.25">
      <c r="A58" s="199">
        <v>2021020216</v>
      </c>
      <c r="B58" s="194" t="s">
        <v>148</v>
      </c>
      <c r="C58" s="159">
        <v>0</v>
      </c>
      <c r="D58" s="186"/>
      <c r="E58" s="457"/>
      <c r="F58" s="458"/>
      <c r="G58" s="459"/>
      <c r="H58" s="185">
        <f t="shared" si="28"/>
        <v>0</v>
      </c>
      <c r="I58" s="186"/>
      <c r="J58" s="186">
        <v>0</v>
      </c>
      <c r="K58" s="187">
        <v>0</v>
      </c>
      <c r="L58" s="188">
        <f t="shared" si="29"/>
        <v>0</v>
      </c>
      <c r="M58" s="321">
        <f t="shared" si="30"/>
        <v>0</v>
      </c>
      <c r="N58" s="189">
        <f t="shared" si="31"/>
        <v>0</v>
      </c>
      <c r="O58" s="190">
        <v>0</v>
      </c>
      <c r="P58" s="188">
        <f t="shared" si="32"/>
        <v>0</v>
      </c>
      <c r="Q58" s="432">
        <f t="shared" si="33"/>
        <v>0</v>
      </c>
      <c r="R58" s="432">
        <f t="shared" si="34"/>
        <v>0</v>
      </c>
    </row>
    <row r="59" spans="1:18" ht="27" customHeight="1" x14ac:dyDescent="0.2">
      <c r="A59" s="497">
        <v>20210301</v>
      </c>
      <c r="B59" s="195" t="s">
        <v>95</v>
      </c>
      <c r="C59" s="201">
        <f>C60</f>
        <v>0</v>
      </c>
      <c r="D59" s="206">
        <f>D60</f>
        <v>0</v>
      </c>
      <c r="E59" s="206">
        <f>E60</f>
        <v>0</v>
      </c>
      <c r="F59" s="206">
        <f>F60</f>
        <v>0</v>
      </c>
      <c r="G59" s="206">
        <f>G60</f>
        <v>0</v>
      </c>
      <c r="H59" s="176">
        <f>SUM(H60:H60)</f>
        <v>0</v>
      </c>
      <c r="I59" s="176">
        <f>SUM(I60:I60)</f>
        <v>0</v>
      </c>
      <c r="J59" s="176">
        <f>SUM(J60:J60)</f>
        <v>0</v>
      </c>
      <c r="K59" s="177">
        <f>K60</f>
        <v>1</v>
      </c>
      <c r="L59" s="178">
        <f>L60</f>
        <v>0</v>
      </c>
      <c r="M59" s="191">
        <f t="shared" si="30"/>
        <v>0</v>
      </c>
      <c r="N59" s="191">
        <f>SUM(N60:N60)</f>
        <v>0</v>
      </c>
      <c r="O59" s="179">
        <v>0</v>
      </c>
      <c r="P59" s="176">
        <f>SUM(P60:P60)</f>
        <v>0</v>
      </c>
      <c r="Q59" s="176">
        <f>SUM(Q60:Q60)</f>
        <v>0</v>
      </c>
      <c r="R59" s="176">
        <f>SUM(R60:R60)</f>
        <v>0</v>
      </c>
    </row>
    <row r="60" spans="1:18" ht="15" x14ac:dyDescent="0.25">
      <c r="A60" s="207">
        <v>2021030101</v>
      </c>
      <c r="B60" s="208" t="s">
        <v>96</v>
      </c>
      <c r="C60" s="183"/>
      <c r="D60" s="209">
        <v>0</v>
      </c>
      <c r="E60" s="457"/>
      <c r="F60" s="458"/>
      <c r="G60" s="459"/>
      <c r="H60" s="185">
        <f>C60-D60+E60+F60-G60</f>
        <v>0</v>
      </c>
      <c r="I60" s="186"/>
      <c r="J60" s="209">
        <v>0</v>
      </c>
      <c r="K60" s="187">
        <v>1</v>
      </c>
      <c r="L60" s="188">
        <f>J60+I60</f>
        <v>0</v>
      </c>
      <c r="M60" s="321">
        <f t="shared" si="30"/>
        <v>0</v>
      </c>
      <c r="N60" s="189">
        <f>H60-L60</f>
        <v>0</v>
      </c>
      <c r="O60" s="190">
        <v>0</v>
      </c>
      <c r="P60" s="188">
        <f>L60</f>
        <v>0</v>
      </c>
      <c r="Q60" s="432">
        <f>M60-P60</f>
        <v>0</v>
      </c>
      <c r="R60" s="188"/>
    </row>
    <row r="61" spans="1:18" s="216" customFormat="1" ht="31.5" customHeight="1" x14ac:dyDescent="0.2">
      <c r="A61" s="210"/>
      <c r="B61" s="211" t="s">
        <v>165</v>
      </c>
      <c r="C61" s="212">
        <f>C26+C21+C42+C17+C37+C8+C59</f>
        <v>1168442348</v>
      </c>
      <c r="D61" s="213">
        <f>D9+D26</f>
        <v>0</v>
      </c>
      <c r="E61" s="213">
        <f>E8+E17+E37+E42+E21+E26+E59</f>
        <v>0</v>
      </c>
      <c r="F61" s="213">
        <f>F8+F17+F37+F42++F21+F26+F59</f>
        <v>0</v>
      </c>
      <c r="G61" s="213">
        <f>G8+G17+G37+G42+G21+G26+G59</f>
        <v>0</v>
      </c>
      <c r="H61" s="213">
        <f>H8+H17+H37+H42+H21+H26+H59</f>
        <v>1168442348</v>
      </c>
      <c r="I61" s="213">
        <f>I8+I17+I37+I42+I21+I26+I59</f>
        <v>0</v>
      </c>
      <c r="J61" s="213">
        <f>J8+J17+J37+J42+J21+J26+J59</f>
        <v>75436519.866666675</v>
      </c>
      <c r="K61" s="214">
        <f>L61/H61</f>
        <v>6.4561610588481227E-2</v>
      </c>
      <c r="L61" s="213">
        <f>L8+L17+L37+L42+L21+L26+L59</f>
        <v>75436519.866666675</v>
      </c>
      <c r="M61" s="213">
        <f>M8+M17+M37+M42+M21+M26+M59</f>
        <v>75436519.866666675</v>
      </c>
      <c r="N61" s="213">
        <f>N8+N17+N37+N42+N21+N26+N59</f>
        <v>1093005828.1333332</v>
      </c>
      <c r="O61" s="215">
        <f>N61/H61</f>
        <v>0.93543838941151869</v>
      </c>
      <c r="P61" s="213">
        <f>P8+P17+P37+P42+P21+P26+P59</f>
        <v>75436519.866666675</v>
      </c>
      <c r="Q61" s="213">
        <f>Q8+Q17+Q37+Q42+Q21+Q26+Q59</f>
        <v>0</v>
      </c>
      <c r="R61" s="213">
        <f>R9+R17+R21+R26+R43+R48+R59</f>
        <v>0</v>
      </c>
    </row>
    <row r="62" spans="1:18" ht="35.25" customHeight="1" x14ac:dyDescent="0.25">
      <c r="A62" s="431" t="s">
        <v>166</v>
      </c>
      <c r="B62" s="682" t="s">
        <v>167</v>
      </c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4"/>
      <c r="P62" s="217"/>
      <c r="Q62" s="217"/>
      <c r="R62" s="217"/>
    </row>
    <row r="64" spans="1:18" x14ac:dyDescent="0.2">
      <c r="D64" s="218"/>
      <c r="E64" s="218"/>
      <c r="F64" s="218"/>
      <c r="G64" s="218"/>
      <c r="N64" s="218"/>
    </row>
    <row r="65" spans="4:14" x14ac:dyDescent="0.2">
      <c r="G65" s="218"/>
      <c r="I65" s="218"/>
      <c r="J65" s="221"/>
      <c r="N65" s="218"/>
    </row>
    <row r="66" spans="4:14" x14ac:dyDescent="0.2">
      <c r="D66" s="218"/>
      <c r="J66" s="218"/>
      <c r="K66" s="218"/>
      <c r="N66" s="218"/>
    </row>
    <row r="67" spans="4:14" x14ac:dyDescent="0.2">
      <c r="H67" s="218"/>
      <c r="J67" s="218"/>
      <c r="N67" s="218"/>
    </row>
    <row r="68" spans="4:14" x14ac:dyDescent="0.2">
      <c r="H68" s="218"/>
      <c r="J68" s="218"/>
    </row>
  </sheetData>
  <mergeCells count="5">
    <mergeCell ref="A1:O1"/>
    <mergeCell ref="A2:O2"/>
    <mergeCell ref="A3:O3"/>
    <mergeCell ref="K5:K6"/>
    <mergeCell ref="B62:O62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ignoredErrors>
    <ignoredError sqref="A18:A58 A10:A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R68"/>
  <sheetViews>
    <sheetView showGridLines="0" zoomScale="80" zoomScaleNormal="80" zoomScaleSheetLayoutView="80" workbookViewId="0">
      <pane xSplit="2" ySplit="7" topLeftCell="G41" activePane="bottomRight" state="frozen"/>
      <selection activeCell="J677" sqref="J677"/>
      <selection pane="topRight" activeCell="J677" sqref="J677"/>
      <selection pane="bottomLeft" activeCell="J677" sqref="J677"/>
      <selection pane="bottomRight" activeCell="J19" sqref="J19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248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J8" si="0">SUM(C9:C16)</f>
        <v>699585000</v>
      </c>
      <c r="D8" s="176">
        <f t="shared" si="0"/>
        <v>0</v>
      </c>
      <c r="E8" s="176">
        <f t="shared" si="0"/>
        <v>0</v>
      </c>
      <c r="F8" s="176">
        <f t="shared" si="0"/>
        <v>0</v>
      </c>
      <c r="G8" s="176">
        <f t="shared" si="0"/>
        <v>3000000</v>
      </c>
      <c r="H8" s="176">
        <f t="shared" si="0"/>
        <v>696585000</v>
      </c>
      <c r="I8" s="176">
        <f t="shared" si="0"/>
        <v>29519098.866666667</v>
      </c>
      <c r="J8" s="176">
        <f t="shared" si="0"/>
        <v>0</v>
      </c>
      <c r="K8" s="177">
        <f t="shared" ref="K8:K18" si="1">L8/H8</f>
        <v>4.2376879873477991E-2</v>
      </c>
      <c r="L8" s="178">
        <f>SUM(L9:L16)</f>
        <v>29519098.866666667</v>
      </c>
      <c r="M8" s="178">
        <f>SUM(M9:M16)</f>
        <v>29519098.866666667</v>
      </c>
      <c r="N8" s="176">
        <f>SUM(N9:N16)</f>
        <v>667065901.13333333</v>
      </c>
      <c r="O8" s="179">
        <f t="shared" ref="O8:O18" si="2">N8/H8</f>
        <v>0.95762312012652195</v>
      </c>
      <c r="P8" s="176">
        <f>SUM(P9:P16)</f>
        <v>29519098.866666667</v>
      </c>
      <c r="Q8" s="176">
        <f>SUM(Q9:Q16)</f>
        <v>0</v>
      </c>
      <c r="R8" s="176">
        <f>SUM(R9:R16)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>
        <v>3000000</v>
      </c>
      <c r="H9" s="185">
        <f t="shared" ref="H9:H16" si="3">C9-D9+E9+F9-G9</f>
        <v>533000000</v>
      </c>
      <c r="I9" s="186">
        <f>ENERO!I9+ENERO!J9</f>
        <v>25228716</v>
      </c>
      <c r="J9" s="4"/>
      <c r="K9" s="187">
        <f t="shared" si="1"/>
        <v>4.7333425891181988E-2</v>
      </c>
      <c r="L9" s="188">
        <f t="shared" ref="L9:L16" si="4">J9+I9</f>
        <v>25228716</v>
      </c>
      <c r="M9" s="321">
        <f t="shared" ref="M9:M16" si="5">I9+J9</f>
        <v>25228716</v>
      </c>
      <c r="N9" s="189">
        <f t="shared" ref="N9:N16" si="6">H9-L9</f>
        <v>507771284</v>
      </c>
      <c r="O9" s="190">
        <f t="shared" si="2"/>
        <v>0.95266657410881805</v>
      </c>
      <c r="P9" s="432">
        <f>M9</f>
        <v>25228716</v>
      </c>
      <c r="Q9" s="432">
        <f t="shared" ref="Q9:Q16" si="7">M9-P9</f>
        <v>0</v>
      </c>
      <c r="R9" s="432">
        <f t="shared" ref="R9:R16" si="8">L9-M9</f>
        <v>0</v>
      </c>
    </row>
    <row r="10" spans="1:18" ht="15" x14ac:dyDescent="0.25">
      <c r="A10" s="496" t="s">
        <v>210</v>
      </c>
      <c r="B10" s="182" t="s">
        <v>11</v>
      </c>
      <c r="C10" s="159">
        <v>1320000</v>
      </c>
      <c r="D10" s="184"/>
      <c r="E10" s="457"/>
      <c r="F10" s="458"/>
      <c r="G10" s="459"/>
      <c r="H10" s="185">
        <f t="shared" si="3"/>
        <v>1320000</v>
      </c>
      <c r="I10" s="186">
        <f>ENERO!I10+ENERO!J10</f>
        <v>67420.866666666669</v>
      </c>
      <c r="J10" s="186"/>
      <c r="K10" s="187">
        <f t="shared" si="1"/>
        <v>5.1076414141414145E-2</v>
      </c>
      <c r="L10" s="188">
        <f t="shared" si="4"/>
        <v>67420.866666666669</v>
      </c>
      <c r="M10" s="321">
        <f t="shared" si="5"/>
        <v>67420.866666666669</v>
      </c>
      <c r="N10" s="189">
        <f t="shared" si="6"/>
        <v>1252579.1333333333</v>
      </c>
      <c r="O10" s="190">
        <f t="shared" si="2"/>
        <v>0.94892358585858583</v>
      </c>
      <c r="P10" s="432">
        <f t="shared" ref="P10:P16" si="9">L10</f>
        <v>67420.866666666669</v>
      </c>
      <c r="Q10" s="432">
        <f t="shared" si="7"/>
        <v>0</v>
      </c>
      <c r="R10" s="432">
        <f t="shared" si="8"/>
        <v>0</v>
      </c>
    </row>
    <row r="11" spans="1:18" ht="15.75" customHeight="1" x14ac:dyDescent="0.25">
      <c r="A11" s="496" t="s">
        <v>211</v>
      </c>
      <c r="B11" s="182" t="s">
        <v>13</v>
      </c>
      <c r="C11" s="159">
        <v>848000</v>
      </c>
      <c r="D11" s="184"/>
      <c r="E11" s="457"/>
      <c r="F11" s="458"/>
      <c r="G11" s="459"/>
      <c r="H11" s="185">
        <f t="shared" si="3"/>
        <v>848000</v>
      </c>
      <c r="I11" s="186">
        <f>ENERO!I11+ENERO!J11</f>
        <v>41862</v>
      </c>
      <c r="J11" s="186"/>
      <c r="K11" s="187">
        <f t="shared" si="1"/>
        <v>4.9365566037735849E-2</v>
      </c>
      <c r="L11" s="188">
        <f t="shared" si="4"/>
        <v>41862</v>
      </c>
      <c r="M11" s="321">
        <f t="shared" si="5"/>
        <v>41862</v>
      </c>
      <c r="N11" s="189">
        <f t="shared" si="6"/>
        <v>806138</v>
      </c>
      <c r="O11" s="190">
        <f t="shared" si="2"/>
        <v>0.9506344339622641</v>
      </c>
      <c r="P11" s="432">
        <f t="shared" si="9"/>
        <v>41862</v>
      </c>
      <c r="Q11" s="432">
        <f t="shared" si="7"/>
        <v>0</v>
      </c>
      <c r="R11" s="432">
        <f t="shared" si="8"/>
        <v>0</v>
      </c>
    </row>
    <row r="12" spans="1:18" ht="15" x14ac:dyDescent="0.25">
      <c r="A12" s="496" t="s">
        <v>212</v>
      </c>
      <c r="B12" s="182" t="s">
        <v>15</v>
      </c>
      <c r="C12" s="159">
        <v>16300000</v>
      </c>
      <c r="D12" s="184"/>
      <c r="E12" s="457"/>
      <c r="F12" s="458"/>
      <c r="G12" s="459"/>
      <c r="H12" s="185">
        <f t="shared" si="3"/>
        <v>16300000</v>
      </c>
      <c r="I12" s="186">
        <f>ENERO!I12+ENERO!J12</f>
        <v>4181100</v>
      </c>
      <c r="J12" s="4"/>
      <c r="K12" s="187">
        <f t="shared" si="1"/>
        <v>0.25650920245398773</v>
      </c>
      <c r="L12" s="188">
        <f t="shared" si="4"/>
        <v>4181100</v>
      </c>
      <c r="M12" s="321">
        <f t="shared" si="5"/>
        <v>4181100</v>
      </c>
      <c r="N12" s="189">
        <f t="shared" si="6"/>
        <v>12118900</v>
      </c>
      <c r="O12" s="190">
        <f t="shared" si="2"/>
        <v>0.74349079754601222</v>
      </c>
      <c r="P12" s="432">
        <f t="shared" si="9"/>
        <v>4181100</v>
      </c>
      <c r="Q12" s="432">
        <f t="shared" si="7"/>
        <v>0</v>
      </c>
      <c r="R12" s="432">
        <f t="shared" si="8"/>
        <v>0</v>
      </c>
    </row>
    <row r="13" spans="1:18" ht="15" x14ac:dyDescent="0.25">
      <c r="A13" s="496" t="s">
        <v>213</v>
      </c>
      <c r="B13" s="182" t="s">
        <v>17</v>
      </c>
      <c r="C13" s="159">
        <v>24000000</v>
      </c>
      <c r="D13" s="184"/>
      <c r="E13" s="457"/>
      <c r="F13" s="458"/>
      <c r="G13" s="459"/>
      <c r="H13" s="185">
        <f t="shared" si="3"/>
        <v>24000000</v>
      </c>
      <c r="I13" s="186">
        <f>ENERO!I13+ENERO!J13</f>
        <v>0</v>
      </c>
      <c r="J13" s="4"/>
      <c r="K13" s="187">
        <f t="shared" si="1"/>
        <v>0</v>
      </c>
      <c r="L13" s="188">
        <f t="shared" si="4"/>
        <v>0</v>
      </c>
      <c r="M13" s="321">
        <f t="shared" si="5"/>
        <v>0</v>
      </c>
      <c r="N13" s="189">
        <f t="shared" si="6"/>
        <v>24000000</v>
      </c>
      <c r="O13" s="190">
        <f t="shared" si="2"/>
        <v>1</v>
      </c>
      <c r="P13" s="432">
        <f t="shared" si="9"/>
        <v>0</v>
      </c>
      <c r="Q13" s="432">
        <f t="shared" si="7"/>
        <v>0</v>
      </c>
      <c r="R13" s="432">
        <f t="shared" si="8"/>
        <v>0</v>
      </c>
    </row>
    <row r="14" spans="1:18" ht="15" x14ac:dyDescent="0.25">
      <c r="A14" s="496" t="s">
        <v>214</v>
      </c>
      <c r="B14" s="182" t="s">
        <v>19</v>
      </c>
      <c r="C14" s="159">
        <v>24787000</v>
      </c>
      <c r="D14" s="184"/>
      <c r="E14" s="457"/>
      <c r="F14" s="458"/>
      <c r="G14" s="459"/>
      <c r="H14" s="185">
        <f t="shared" si="3"/>
        <v>24787000</v>
      </c>
      <c r="I14" s="186">
        <f>ENERO!I14+ENERO!J14</f>
        <v>0</v>
      </c>
      <c r="J14" s="4">
        <v>0</v>
      </c>
      <c r="K14" s="187">
        <f t="shared" si="1"/>
        <v>0</v>
      </c>
      <c r="L14" s="188">
        <f t="shared" si="4"/>
        <v>0</v>
      </c>
      <c r="M14" s="321">
        <f t="shared" si="5"/>
        <v>0</v>
      </c>
      <c r="N14" s="189">
        <f t="shared" si="6"/>
        <v>24787000</v>
      </c>
      <c r="O14" s="190">
        <f t="shared" si="2"/>
        <v>1</v>
      </c>
      <c r="P14" s="432">
        <f t="shared" si="9"/>
        <v>0</v>
      </c>
      <c r="Q14" s="432">
        <f t="shared" si="7"/>
        <v>0</v>
      </c>
      <c r="R14" s="432">
        <f t="shared" si="8"/>
        <v>0</v>
      </c>
    </row>
    <row r="15" spans="1:18" ht="15" x14ac:dyDescent="0.25">
      <c r="A15" s="496" t="s">
        <v>215</v>
      </c>
      <c r="B15" s="182" t="s">
        <v>20</v>
      </c>
      <c r="C15" s="159">
        <v>41330000</v>
      </c>
      <c r="D15" s="184"/>
      <c r="E15" s="457"/>
      <c r="F15" s="458"/>
      <c r="G15" s="459"/>
      <c r="H15" s="185">
        <f t="shared" si="3"/>
        <v>41330000</v>
      </c>
      <c r="I15" s="186">
        <f>ENERO!I15+ENERO!J15</f>
        <v>0</v>
      </c>
      <c r="J15" s="4">
        <v>0</v>
      </c>
      <c r="K15" s="187">
        <f t="shared" si="1"/>
        <v>0</v>
      </c>
      <c r="L15" s="188">
        <f t="shared" si="4"/>
        <v>0</v>
      </c>
      <c r="M15" s="321">
        <f t="shared" si="5"/>
        <v>0</v>
      </c>
      <c r="N15" s="189">
        <f t="shared" si="6"/>
        <v>41330000</v>
      </c>
      <c r="O15" s="190">
        <f t="shared" si="2"/>
        <v>1</v>
      </c>
      <c r="P15" s="432">
        <f t="shared" si="9"/>
        <v>0</v>
      </c>
      <c r="Q15" s="432">
        <f t="shared" si="7"/>
        <v>0</v>
      </c>
      <c r="R15" s="432">
        <f t="shared" si="8"/>
        <v>0</v>
      </c>
    </row>
    <row r="16" spans="1:18" ht="15" x14ac:dyDescent="0.25">
      <c r="A16" s="496" t="s">
        <v>216</v>
      </c>
      <c r="B16" s="182" t="s">
        <v>21</v>
      </c>
      <c r="C16" s="159">
        <v>55000000</v>
      </c>
      <c r="D16" s="184"/>
      <c r="E16" s="457"/>
      <c r="F16" s="458"/>
      <c r="G16" s="459"/>
      <c r="H16" s="185">
        <f t="shared" si="3"/>
        <v>55000000</v>
      </c>
      <c r="I16" s="186">
        <f>ENERO!I16+ENERO!J16</f>
        <v>0</v>
      </c>
      <c r="J16" s="4">
        <v>0</v>
      </c>
      <c r="K16" s="187">
        <f t="shared" si="1"/>
        <v>0</v>
      </c>
      <c r="L16" s="188">
        <f t="shared" si="4"/>
        <v>0</v>
      </c>
      <c r="M16" s="321">
        <f t="shared" si="5"/>
        <v>0</v>
      </c>
      <c r="N16" s="189">
        <f t="shared" si="6"/>
        <v>55000000</v>
      </c>
      <c r="O16" s="190">
        <f t="shared" si="2"/>
        <v>1</v>
      </c>
      <c r="P16" s="432">
        <f t="shared" si="9"/>
        <v>0</v>
      </c>
      <c r="Q16" s="432">
        <f t="shared" si="7"/>
        <v>0</v>
      </c>
      <c r="R16" s="432">
        <f t="shared" si="8"/>
        <v>0</v>
      </c>
    </row>
    <row r="17" spans="1:18" s="192" customFormat="1" ht="27.75" customHeight="1" x14ac:dyDescent="0.2">
      <c r="A17" s="497">
        <v>20210102</v>
      </c>
      <c r="B17" s="175" t="s">
        <v>23</v>
      </c>
      <c r="C17" s="176">
        <f t="shared" ref="C17:J17" si="10">SUM(C18:C20)</f>
        <v>77000000</v>
      </c>
      <c r="D17" s="176">
        <f t="shared" si="10"/>
        <v>0</v>
      </c>
      <c r="E17" s="176">
        <f t="shared" si="10"/>
        <v>0</v>
      </c>
      <c r="F17" s="176">
        <f t="shared" si="10"/>
        <v>0</v>
      </c>
      <c r="G17" s="176">
        <f t="shared" si="10"/>
        <v>0</v>
      </c>
      <c r="H17" s="176">
        <f t="shared" si="10"/>
        <v>77000000</v>
      </c>
      <c r="I17" s="176">
        <f t="shared" si="10"/>
        <v>25400000</v>
      </c>
      <c r="J17" s="176">
        <f t="shared" si="10"/>
        <v>7000000</v>
      </c>
      <c r="K17" s="177">
        <f>L17/H17</f>
        <v>0.42077922077922075</v>
      </c>
      <c r="L17" s="191">
        <f>SUM(L18:L20)</f>
        <v>32400000</v>
      </c>
      <c r="M17" s="191">
        <f>SUM(M18:M20)</f>
        <v>32400000</v>
      </c>
      <c r="N17" s="191">
        <f>SUM(N18:N20)</f>
        <v>44600000</v>
      </c>
      <c r="O17" s="179">
        <f t="shared" si="2"/>
        <v>0.57922077922077919</v>
      </c>
      <c r="P17" s="176">
        <f>SUM(P18:P20)</f>
        <v>32400000</v>
      </c>
      <c r="Q17" s="176">
        <f>SUM(Q18:Q20)</f>
        <v>0</v>
      </c>
      <c r="R17" s="176">
        <f>SUM(R18:R20)</f>
        <v>0</v>
      </c>
    </row>
    <row r="18" spans="1:18" ht="15" x14ac:dyDescent="0.25">
      <c r="A18" s="496" t="s">
        <v>217</v>
      </c>
      <c r="B18" s="193" t="s">
        <v>25</v>
      </c>
      <c r="C18" s="159">
        <v>60000000</v>
      </c>
      <c r="D18" s="186"/>
      <c r="E18" s="457"/>
      <c r="F18" s="458"/>
      <c r="G18" s="459"/>
      <c r="H18" s="185">
        <f>C18-D18+E18+F18-G18</f>
        <v>60000000</v>
      </c>
      <c r="I18" s="186">
        <f>ENERO!I18+ENERO!J18</f>
        <v>16800000</v>
      </c>
      <c r="J18" s="186">
        <v>3400000</v>
      </c>
      <c r="K18" s="187">
        <f t="shared" si="1"/>
        <v>0.33666666666666667</v>
      </c>
      <c r="L18" s="188">
        <f>J18+I18</f>
        <v>20200000</v>
      </c>
      <c r="M18" s="321">
        <f>I18+J18</f>
        <v>20200000</v>
      </c>
      <c r="N18" s="189">
        <f>H18-L18</f>
        <v>39800000</v>
      </c>
      <c r="O18" s="190">
        <f t="shared" si="2"/>
        <v>0.66333333333333333</v>
      </c>
      <c r="P18" s="432">
        <f>M18</f>
        <v>20200000</v>
      </c>
      <c r="Q18" s="432">
        <f>M18-P18</f>
        <v>0</v>
      </c>
      <c r="R18" s="432">
        <f>L18-M18</f>
        <v>0</v>
      </c>
    </row>
    <row r="19" spans="1:18" ht="15" x14ac:dyDescent="0.25">
      <c r="A19" s="496" t="s">
        <v>218</v>
      </c>
      <c r="B19" s="182" t="s">
        <v>27</v>
      </c>
      <c r="C19" s="159">
        <v>17000000</v>
      </c>
      <c r="D19" s="186"/>
      <c r="E19" s="457"/>
      <c r="F19" s="458"/>
      <c r="G19" s="459"/>
      <c r="H19" s="185">
        <f>C19-D19+E19+F19-G19</f>
        <v>17000000</v>
      </c>
      <c r="I19" s="186">
        <f>ENERO!I19+ENERO!J19</f>
        <v>8600000</v>
      </c>
      <c r="J19" s="186">
        <v>3600000</v>
      </c>
      <c r="K19" s="187">
        <v>0</v>
      </c>
      <c r="L19" s="188">
        <f>J19+I19</f>
        <v>12200000</v>
      </c>
      <c r="M19" s="321">
        <f>I19+J19</f>
        <v>12200000</v>
      </c>
      <c r="N19" s="189">
        <f>H19-L19</f>
        <v>4800000</v>
      </c>
      <c r="O19" s="190">
        <v>0</v>
      </c>
      <c r="P19" s="432">
        <f>L19</f>
        <v>12200000</v>
      </c>
      <c r="Q19" s="432">
        <f>M19-P19</f>
        <v>0</v>
      </c>
      <c r="R19" s="432">
        <f>L19-M19</f>
        <v>0</v>
      </c>
    </row>
    <row r="20" spans="1:18" ht="15" x14ac:dyDescent="0.25">
      <c r="A20" s="181">
        <v>2021010203</v>
      </c>
      <c r="B20" s="194" t="s">
        <v>29</v>
      </c>
      <c r="C20" s="183">
        <f>'PAC INICIAL 2021'!C35</f>
        <v>0</v>
      </c>
      <c r="D20" s="186"/>
      <c r="E20" s="457"/>
      <c r="F20" s="458"/>
      <c r="G20" s="459"/>
      <c r="H20" s="185">
        <f>C20-D20+E20+F20-G20</f>
        <v>0</v>
      </c>
      <c r="I20" s="186">
        <f>ENERO!I20+ENERO!J20</f>
        <v>0</v>
      </c>
      <c r="J20" s="2">
        <v>0</v>
      </c>
      <c r="K20" s="187">
        <v>0</v>
      </c>
      <c r="L20" s="188">
        <f>J20+I20</f>
        <v>0</v>
      </c>
      <c r="M20" s="321">
        <f>I20+J20</f>
        <v>0</v>
      </c>
      <c r="N20" s="189">
        <f>H20-L20</f>
        <v>0</v>
      </c>
      <c r="O20" s="190">
        <v>0</v>
      </c>
      <c r="P20" s="432">
        <f>L20</f>
        <v>0</v>
      </c>
      <c r="Q20" s="432">
        <f>M20-P20</f>
        <v>0</v>
      </c>
      <c r="R20" s="432">
        <f>L20-M20</f>
        <v>0</v>
      </c>
    </row>
    <row r="21" spans="1:18" ht="30" x14ac:dyDescent="0.2">
      <c r="A21" s="497">
        <v>20210103</v>
      </c>
      <c r="B21" s="200" t="s">
        <v>69</v>
      </c>
      <c r="C21" s="201">
        <f t="shared" ref="C21:J21" si="11">SUM(C22:C25)</f>
        <v>73229741</v>
      </c>
      <c r="D21" s="201">
        <f t="shared" si="11"/>
        <v>0</v>
      </c>
      <c r="E21" s="201">
        <f t="shared" si="11"/>
        <v>0</v>
      </c>
      <c r="F21" s="201">
        <f t="shared" si="11"/>
        <v>0</v>
      </c>
      <c r="G21" s="201">
        <f t="shared" si="11"/>
        <v>0</v>
      </c>
      <c r="H21" s="201">
        <f t="shared" si="11"/>
        <v>73229741</v>
      </c>
      <c r="I21" s="201">
        <f t="shared" si="11"/>
        <v>4459798</v>
      </c>
      <c r="J21" s="201">
        <f t="shared" si="11"/>
        <v>0</v>
      </c>
      <c r="K21" s="177">
        <f t="shared" ref="K21:K27" si="12">L21/H21</f>
        <v>6.0901458056501934E-2</v>
      </c>
      <c r="L21" s="438">
        <f>SUM(L22:L25)</f>
        <v>4459798</v>
      </c>
      <c r="M21" s="438">
        <f>SUM(M22:M25)</f>
        <v>4459798</v>
      </c>
      <c r="N21" s="438">
        <f>SUM(N22:N25)</f>
        <v>68769943</v>
      </c>
      <c r="O21" s="179">
        <f t="shared" ref="O21:O27" si="13">N21/H21</f>
        <v>0.93909854194349807</v>
      </c>
      <c r="P21" s="176">
        <f>SUM(P22:P25)</f>
        <v>4459798</v>
      </c>
      <c r="Q21" s="176">
        <f>SUM(Q22:Q25)</f>
        <v>0</v>
      </c>
      <c r="R21" s="176">
        <f>SUM(R22:R25)</f>
        <v>0</v>
      </c>
    </row>
    <row r="22" spans="1:18" ht="15" x14ac:dyDescent="0.25">
      <c r="A22" s="496" t="s">
        <v>220</v>
      </c>
      <c r="B22" s="194" t="s">
        <v>71</v>
      </c>
      <c r="C22" s="159">
        <v>6000083</v>
      </c>
      <c r="D22" s="184"/>
      <c r="E22" s="457"/>
      <c r="F22" s="458"/>
      <c r="G22" s="459"/>
      <c r="H22" s="185">
        <f>C22-D22+E22+F22-G22</f>
        <v>6000083</v>
      </c>
      <c r="I22" s="186">
        <f>ENERO!I22+ENERO!J22</f>
        <v>0</v>
      </c>
      <c r="J22" s="4">
        <v>0</v>
      </c>
      <c r="K22" s="187">
        <f t="shared" si="12"/>
        <v>0</v>
      </c>
      <c r="L22" s="188">
        <f>J22+I22</f>
        <v>0</v>
      </c>
      <c r="M22" s="321">
        <f>I22+J22</f>
        <v>0</v>
      </c>
      <c r="N22" s="189">
        <f>H22-L22</f>
        <v>6000083</v>
      </c>
      <c r="O22" s="190">
        <f t="shared" si="13"/>
        <v>1</v>
      </c>
      <c r="P22" s="432">
        <f>M22</f>
        <v>0</v>
      </c>
      <c r="Q22" s="432">
        <f>M22-P22</f>
        <v>0</v>
      </c>
      <c r="R22" s="432">
        <f>L22-M22</f>
        <v>0</v>
      </c>
    </row>
    <row r="23" spans="1:18" ht="15" x14ac:dyDescent="0.25">
      <c r="A23" s="496" t="s">
        <v>219</v>
      </c>
      <c r="B23" s="194" t="s">
        <v>73</v>
      </c>
      <c r="C23" s="159">
        <v>46429658</v>
      </c>
      <c r="D23" s="184"/>
      <c r="E23" s="457"/>
      <c r="F23" s="458"/>
      <c r="G23" s="459"/>
      <c r="H23" s="185">
        <f>C23-D23+E23+F23-G23</f>
        <v>46429658</v>
      </c>
      <c r="I23" s="186">
        <f>ENERO!I23+ENERO!J23</f>
        <v>3739179</v>
      </c>
      <c r="J23" s="4"/>
      <c r="K23" s="187">
        <f t="shared" si="12"/>
        <v>8.0534278327012446E-2</v>
      </c>
      <c r="L23" s="188">
        <f>J23+I23</f>
        <v>3739179</v>
      </c>
      <c r="M23" s="321">
        <f>I23+J23</f>
        <v>3739179</v>
      </c>
      <c r="N23" s="189">
        <f>H23-L23</f>
        <v>42690479</v>
      </c>
      <c r="O23" s="190">
        <f t="shared" si="13"/>
        <v>0.91946572167298757</v>
      </c>
      <c r="P23" s="432">
        <f>L23</f>
        <v>3739179</v>
      </c>
      <c r="Q23" s="432">
        <f>M23-P23</f>
        <v>0</v>
      </c>
      <c r="R23" s="432">
        <f>L23-M23</f>
        <v>0</v>
      </c>
    </row>
    <row r="24" spans="1:18" ht="15" x14ac:dyDescent="0.25">
      <c r="A24" s="496" t="s">
        <v>221</v>
      </c>
      <c r="B24" s="194" t="s">
        <v>74</v>
      </c>
      <c r="C24" s="159">
        <v>14000000</v>
      </c>
      <c r="D24" s="184"/>
      <c r="E24" s="457"/>
      <c r="F24" s="458"/>
      <c r="G24" s="459"/>
      <c r="H24" s="185">
        <f>C24-D24+E24+F24-G24</f>
        <v>14000000</v>
      </c>
      <c r="I24" s="186">
        <f>ENERO!I24+ENERO!J24</f>
        <v>720619</v>
      </c>
      <c r="J24" s="4"/>
      <c r="K24" s="187">
        <f t="shared" si="12"/>
        <v>5.1472785714285714E-2</v>
      </c>
      <c r="L24" s="188">
        <f>J24+I24</f>
        <v>720619</v>
      </c>
      <c r="M24" s="321">
        <f>I24+J24</f>
        <v>720619</v>
      </c>
      <c r="N24" s="189">
        <f>H24-L24</f>
        <v>13279381</v>
      </c>
      <c r="O24" s="190">
        <f t="shared" si="13"/>
        <v>0.94852721428571429</v>
      </c>
      <c r="P24" s="432">
        <f>L24</f>
        <v>720619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222</v>
      </c>
      <c r="B25" s="194" t="s">
        <v>75</v>
      </c>
      <c r="C25" s="159">
        <v>6800000</v>
      </c>
      <c r="D25" s="202"/>
      <c r="E25" s="457"/>
      <c r="F25" s="458"/>
      <c r="G25" s="459"/>
      <c r="H25" s="185">
        <f>C25-D25+E25+F25-G25</f>
        <v>6800000</v>
      </c>
      <c r="I25" s="186">
        <f>ENERO!I25+ENERO!J25</f>
        <v>0</v>
      </c>
      <c r="J25" s="185"/>
      <c r="K25" s="187">
        <f t="shared" si="12"/>
        <v>0</v>
      </c>
      <c r="L25" s="188">
        <f>J25+I25</f>
        <v>0</v>
      </c>
      <c r="M25" s="321">
        <f>I25+J25</f>
        <v>0</v>
      </c>
      <c r="N25" s="189">
        <f>H25-L25</f>
        <v>6800000</v>
      </c>
      <c r="O25" s="190">
        <f t="shared" si="13"/>
        <v>1</v>
      </c>
      <c r="P25" s="432">
        <f>L25-J25</f>
        <v>0</v>
      </c>
      <c r="Q25" s="432">
        <f>M25-P25</f>
        <v>0</v>
      </c>
      <c r="R25" s="432">
        <f>L25-M25</f>
        <v>0</v>
      </c>
    </row>
    <row r="26" spans="1:18" ht="15.75" x14ac:dyDescent="0.2">
      <c r="A26" s="497">
        <v>20210104</v>
      </c>
      <c r="B26" s="203" t="s">
        <v>76</v>
      </c>
      <c r="C26" s="201">
        <f t="shared" ref="C26:J26" si="14">SUM(C27:C36)</f>
        <v>133100000</v>
      </c>
      <c r="D26" s="201">
        <f t="shared" si="14"/>
        <v>0</v>
      </c>
      <c r="E26" s="201">
        <f t="shared" si="14"/>
        <v>0</v>
      </c>
      <c r="F26" s="201">
        <f t="shared" si="14"/>
        <v>3000000</v>
      </c>
      <c r="G26" s="201">
        <f t="shared" si="14"/>
        <v>0</v>
      </c>
      <c r="H26" s="201">
        <f t="shared" si="14"/>
        <v>136100000</v>
      </c>
      <c r="I26" s="176">
        <f t="shared" si="14"/>
        <v>9065581</v>
      </c>
      <c r="J26" s="176">
        <f t="shared" si="14"/>
        <v>12343990</v>
      </c>
      <c r="K26" s="177">
        <f t="shared" si="12"/>
        <v>0.15730764878765613</v>
      </c>
      <c r="L26" s="178">
        <f>SUM(L27:L36)</f>
        <v>21409571</v>
      </c>
      <c r="M26" s="191">
        <f>SUM(M27:M36)</f>
        <v>21409571</v>
      </c>
      <c r="N26" s="191">
        <f>SUM(N27:N36)</f>
        <v>114690429</v>
      </c>
      <c r="O26" s="179">
        <f t="shared" si="13"/>
        <v>0.84269235121234387</v>
      </c>
      <c r="P26" s="176">
        <f>SUM(P27:P36)</f>
        <v>9065581</v>
      </c>
      <c r="Q26" s="176">
        <f>SUM(Q27:Q36)</f>
        <v>12343990</v>
      </c>
      <c r="R26" s="176">
        <f>SUM(R27:R42)</f>
        <v>0</v>
      </c>
    </row>
    <row r="27" spans="1:18" ht="15" x14ac:dyDescent="0.25">
      <c r="A27" s="496" t="s">
        <v>223</v>
      </c>
      <c r="B27" s="194" t="s">
        <v>78</v>
      </c>
      <c r="C27" s="159">
        <v>12000000</v>
      </c>
      <c r="D27" s="184"/>
      <c r="E27" s="457"/>
      <c r="F27" s="458">
        <v>3000000</v>
      </c>
      <c r="G27" s="459"/>
      <c r="H27" s="185">
        <f t="shared" ref="H27:H36" si="15">C27-D27+E27+F27-G27</f>
        <v>15000000</v>
      </c>
      <c r="I27" s="186">
        <f>ENERO!I27+ENERO!J27</f>
        <v>0</v>
      </c>
      <c r="J27" s="2">
        <v>12343990</v>
      </c>
      <c r="K27" s="187">
        <f t="shared" si="12"/>
        <v>0.82293266666666665</v>
      </c>
      <c r="L27" s="188">
        <f t="shared" ref="L27:L36" si="16">J27+I27</f>
        <v>12343990</v>
      </c>
      <c r="M27" s="321">
        <f t="shared" ref="M27:M36" si="17">I27+J27</f>
        <v>12343990</v>
      </c>
      <c r="N27" s="189">
        <f t="shared" ref="N27:N36" si="18">H27-L27</f>
        <v>2656010</v>
      </c>
      <c r="O27" s="190">
        <f t="shared" si="13"/>
        <v>0.17706733333333333</v>
      </c>
      <c r="P27" s="188">
        <f>L27-J27</f>
        <v>0</v>
      </c>
      <c r="Q27" s="432">
        <f t="shared" ref="Q27:Q36" si="19">M27-P27</f>
        <v>12343990</v>
      </c>
      <c r="R27" s="432">
        <f t="shared" ref="R27:R42" si="20">L27-M27</f>
        <v>0</v>
      </c>
    </row>
    <row r="28" spans="1:18" ht="15" x14ac:dyDescent="0.25">
      <c r="A28" s="181">
        <v>2021010402</v>
      </c>
      <c r="B28" s="194" t="s">
        <v>73</v>
      </c>
      <c r="C28" s="159">
        <v>0</v>
      </c>
      <c r="D28" s="184"/>
      <c r="E28" s="457"/>
      <c r="F28" s="458"/>
      <c r="G28" s="459"/>
      <c r="H28" s="185">
        <f t="shared" si="15"/>
        <v>0</v>
      </c>
      <c r="I28" s="186">
        <f>ENERO!I28+ENERO!J28</f>
        <v>0</v>
      </c>
      <c r="J28" s="186"/>
      <c r="K28" s="187">
        <v>0</v>
      </c>
      <c r="L28" s="196">
        <f t="shared" si="16"/>
        <v>0</v>
      </c>
      <c r="M28" s="321">
        <f t="shared" si="17"/>
        <v>0</v>
      </c>
      <c r="N28" s="189">
        <f t="shared" si="18"/>
        <v>0</v>
      </c>
      <c r="O28" s="190">
        <v>0</v>
      </c>
      <c r="P28" s="188">
        <f t="shared" ref="P28:P36" si="21">L28</f>
        <v>0</v>
      </c>
      <c r="Q28" s="432">
        <f t="shared" si="19"/>
        <v>0</v>
      </c>
      <c r="R28" s="432">
        <f t="shared" si="20"/>
        <v>0</v>
      </c>
    </row>
    <row r="29" spans="1:18" ht="15" x14ac:dyDescent="0.25">
      <c r="A29" s="496" t="s">
        <v>224</v>
      </c>
      <c r="B29" s="194" t="s">
        <v>81</v>
      </c>
      <c r="C29" s="159">
        <v>3900000</v>
      </c>
      <c r="D29" s="184"/>
      <c r="E29" s="457"/>
      <c r="F29" s="458"/>
      <c r="G29" s="459"/>
      <c r="H29" s="185">
        <f t="shared" si="15"/>
        <v>3900000</v>
      </c>
      <c r="I29" s="186">
        <f>ENERO!I29+ENERO!J29</f>
        <v>211900</v>
      </c>
      <c r="J29" s="4"/>
      <c r="K29" s="187">
        <f t="shared" ref="K29:K35" si="22">L29/H29</f>
        <v>5.4333333333333331E-2</v>
      </c>
      <c r="L29" s="188">
        <f t="shared" si="16"/>
        <v>211900</v>
      </c>
      <c r="M29" s="321">
        <f t="shared" si="17"/>
        <v>211900</v>
      </c>
      <c r="N29" s="189">
        <f t="shared" si="18"/>
        <v>3688100</v>
      </c>
      <c r="O29" s="190">
        <f t="shared" ref="O29:O35" si="23">N29/H29</f>
        <v>0.94566666666666666</v>
      </c>
      <c r="P29" s="188">
        <f t="shared" si="21"/>
        <v>211900</v>
      </c>
      <c r="Q29" s="432">
        <f t="shared" si="19"/>
        <v>0</v>
      </c>
      <c r="R29" s="432">
        <f t="shared" si="20"/>
        <v>0</v>
      </c>
    </row>
    <row r="30" spans="1:18" ht="15" x14ac:dyDescent="0.25">
      <c r="A30" s="496" t="s">
        <v>225</v>
      </c>
      <c r="B30" s="194" t="s">
        <v>74</v>
      </c>
      <c r="C30" s="159">
        <v>52000000</v>
      </c>
      <c r="D30" s="184"/>
      <c r="E30" s="457"/>
      <c r="F30" s="458"/>
      <c r="G30" s="459"/>
      <c r="H30" s="185">
        <f t="shared" si="15"/>
        <v>52000000</v>
      </c>
      <c r="I30" s="186">
        <f>ENERO!I30+ENERO!J30</f>
        <v>4521481</v>
      </c>
      <c r="J30" s="205"/>
      <c r="K30" s="187">
        <f t="shared" si="22"/>
        <v>8.6951557692307696E-2</v>
      </c>
      <c r="L30" s="188">
        <f t="shared" si="16"/>
        <v>4521481</v>
      </c>
      <c r="M30" s="321">
        <f t="shared" si="17"/>
        <v>4521481</v>
      </c>
      <c r="N30" s="189">
        <f t="shared" si="18"/>
        <v>47478519</v>
      </c>
      <c r="O30" s="190">
        <f t="shared" si="23"/>
        <v>0.91304844230769233</v>
      </c>
      <c r="P30" s="188">
        <f t="shared" si="21"/>
        <v>4521481</v>
      </c>
      <c r="Q30" s="432">
        <f t="shared" si="19"/>
        <v>0</v>
      </c>
      <c r="R30" s="432">
        <f t="shared" si="20"/>
        <v>0</v>
      </c>
    </row>
    <row r="31" spans="1:18" ht="15" x14ac:dyDescent="0.25">
      <c r="A31" s="496" t="s">
        <v>226</v>
      </c>
      <c r="B31" s="194" t="s">
        <v>84</v>
      </c>
      <c r="C31" s="159">
        <v>27000000</v>
      </c>
      <c r="D31" s="184"/>
      <c r="E31" s="457"/>
      <c r="F31" s="458"/>
      <c r="G31" s="459"/>
      <c r="H31" s="185">
        <f t="shared" si="15"/>
        <v>27000000</v>
      </c>
      <c r="I31" s="186">
        <f>ENERO!I31+ENERO!J31</f>
        <v>1924900</v>
      </c>
      <c r="J31" s="4"/>
      <c r="K31" s="187">
        <f t="shared" si="22"/>
        <v>7.1292592592592588E-2</v>
      </c>
      <c r="L31" s="188">
        <f t="shared" si="16"/>
        <v>1924900</v>
      </c>
      <c r="M31" s="321">
        <f t="shared" si="17"/>
        <v>1924900</v>
      </c>
      <c r="N31" s="189">
        <f t="shared" si="18"/>
        <v>25075100</v>
      </c>
      <c r="O31" s="190">
        <f t="shared" si="23"/>
        <v>0.92870740740740743</v>
      </c>
      <c r="P31" s="188">
        <f t="shared" si="21"/>
        <v>1924900</v>
      </c>
      <c r="Q31" s="432">
        <f t="shared" si="19"/>
        <v>0</v>
      </c>
      <c r="R31" s="432">
        <f t="shared" si="20"/>
        <v>0</v>
      </c>
    </row>
    <row r="32" spans="1:18" ht="15" x14ac:dyDescent="0.25">
      <c r="A32" s="496" t="s">
        <v>227</v>
      </c>
      <c r="B32" s="194" t="s">
        <v>86</v>
      </c>
      <c r="C32" s="159">
        <v>23000000</v>
      </c>
      <c r="D32" s="184"/>
      <c r="E32" s="457"/>
      <c r="F32" s="458"/>
      <c r="G32" s="459"/>
      <c r="H32" s="185">
        <f t="shared" si="15"/>
        <v>23000000</v>
      </c>
      <c r="I32" s="186">
        <f>ENERO!I32+ENERO!J32</f>
        <v>1443700</v>
      </c>
      <c r="J32" s="4"/>
      <c r="K32" s="187">
        <f t="shared" si="22"/>
        <v>6.2769565217391299E-2</v>
      </c>
      <c r="L32" s="188">
        <f t="shared" si="16"/>
        <v>1443700</v>
      </c>
      <c r="M32" s="321">
        <f t="shared" si="17"/>
        <v>1443700</v>
      </c>
      <c r="N32" s="189">
        <f t="shared" si="18"/>
        <v>21556300</v>
      </c>
      <c r="O32" s="190">
        <f t="shared" si="23"/>
        <v>0.9372304347826087</v>
      </c>
      <c r="P32" s="188">
        <f t="shared" si="21"/>
        <v>1443700</v>
      </c>
      <c r="Q32" s="432">
        <f t="shared" si="19"/>
        <v>0</v>
      </c>
      <c r="R32" s="432">
        <f t="shared" si="20"/>
        <v>0</v>
      </c>
    </row>
    <row r="33" spans="1:18" ht="15" x14ac:dyDescent="0.25">
      <c r="A33" s="496" t="s">
        <v>228</v>
      </c>
      <c r="B33" s="194" t="s">
        <v>88</v>
      </c>
      <c r="C33" s="159">
        <v>4000000</v>
      </c>
      <c r="D33" s="184"/>
      <c r="E33" s="457"/>
      <c r="F33" s="458"/>
      <c r="G33" s="459"/>
      <c r="H33" s="185">
        <f t="shared" si="15"/>
        <v>4000000</v>
      </c>
      <c r="I33" s="186">
        <f>ENERO!I33+ENERO!J33</f>
        <v>241000</v>
      </c>
      <c r="J33" s="4"/>
      <c r="K33" s="187">
        <f t="shared" si="22"/>
        <v>6.0249999999999998E-2</v>
      </c>
      <c r="L33" s="188">
        <f t="shared" si="16"/>
        <v>241000</v>
      </c>
      <c r="M33" s="321">
        <f t="shared" si="17"/>
        <v>241000</v>
      </c>
      <c r="N33" s="189">
        <f t="shared" si="18"/>
        <v>3759000</v>
      </c>
      <c r="O33" s="190">
        <f t="shared" si="23"/>
        <v>0.93974999999999997</v>
      </c>
      <c r="P33" s="188">
        <f t="shared" si="21"/>
        <v>241000</v>
      </c>
      <c r="Q33" s="432">
        <f t="shared" si="19"/>
        <v>0</v>
      </c>
      <c r="R33" s="432">
        <f t="shared" si="20"/>
        <v>0</v>
      </c>
    </row>
    <row r="34" spans="1:18" ht="15" x14ac:dyDescent="0.25">
      <c r="A34" s="496" t="s">
        <v>229</v>
      </c>
      <c r="B34" s="194" t="s">
        <v>90</v>
      </c>
      <c r="C34" s="159">
        <v>4000000</v>
      </c>
      <c r="D34" s="184"/>
      <c r="E34" s="457"/>
      <c r="F34" s="458"/>
      <c r="G34" s="459"/>
      <c r="H34" s="185">
        <f t="shared" si="15"/>
        <v>4000000</v>
      </c>
      <c r="I34" s="186">
        <f>ENERO!I34+ENERO!J34</f>
        <v>241000</v>
      </c>
      <c r="J34" s="4"/>
      <c r="K34" s="187">
        <f t="shared" si="22"/>
        <v>6.0249999999999998E-2</v>
      </c>
      <c r="L34" s="188">
        <f t="shared" si="16"/>
        <v>241000</v>
      </c>
      <c r="M34" s="321">
        <f t="shared" si="17"/>
        <v>241000</v>
      </c>
      <c r="N34" s="189">
        <f t="shared" si="18"/>
        <v>3759000</v>
      </c>
      <c r="O34" s="190">
        <f t="shared" si="23"/>
        <v>0.93974999999999997</v>
      </c>
      <c r="P34" s="188">
        <f t="shared" si="21"/>
        <v>241000</v>
      </c>
      <c r="Q34" s="432">
        <f t="shared" si="19"/>
        <v>0</v>
      </c>
      <c r="R34" s="432">
        <f t="shared" si="20"/>
        <v>0</v>
      </c>
    </row>
    <row r="35" spans="1:18" ht="15" x14ac:dyDescent="0.25">
      <c r="A35" s="496" t="s">
        <v>230</v>
      </c>
      <c r="B35" s="194" t="s">
        <v>92</v>
      </c>
      <c r="C35" s="159">
        <v>7200000</v>
      </c>
      <c r="D35" s="184"/>
      <c r="E35" s="457"/>
      <c r="F35" s="458"/>
      <c r="G35" s="459"/>
      <c r="H35" s="185">
        <f t="shared" si="15"/>
        <v>7200000</v>
      </c>
      <c r="I35" s="186">
        <f>ENERO!I35+ENERO!J35</f>
        <v>481600</v>
      </c>
      <c r="J35" s="4"/>
      <c r="K35" s="187">
        <f t="shared" si="22"/>
        <v>6.6888888888888887E-2</v>
      </c>
      <c r="L35" s="188">
        <f t="shared" si="16"/>
        <v>481600</v>
      </c>
      <c r="M35" s="321">
        <f t="shared" si="17"/>
        <v>481600</v>
      </c>
      <c r="N35" s="189">
        <f t="shared" si="18"/>
        <v>6718400</v>
      </c>
      <c r="O35" s="190">
        <f t="shared" si="23"/>
        <v>0.93311111111111111</v>
      </c>
      <c r="P35" s="188">
        <f t="shared" si="21"/>
        <v>481600</v>
      </c>
      <c r="Q35" s="432">
        <f t="shared" si="19"/>
        <v>0</v>
      </c>
      <c r="R35" s="432">
        <f t="shared" si="20"/>
        <v>0</v>
      </c>
    </row>
    <row r="36" spans="1:18" ht="15" x14ac:dyDescent="0.25">
      <c r="A36" s="181">
        <v>2021010410</v>
      </c>
      <c r="B36" s="194" t="s">
        <v>94</v>
      </c>
      <c r="C36" s="159">
        <v>0</v>
      </c>
      <c r="D36" s="186"/>
      <c r="E36" s="457"/>
      <c r="F36" s="458"/>
      <c r="G36" s="459"/>
      <c r="H36" s="185">
        <f t="shared" si="15"/>
        <v>0</v>
      </c>
      <c r="I36" s="186">
        <f>ENERO!I36+ENERO!J36</f>
        <v>0</v>
      </c>
      <c r="J36" s="186">
        <v>0</v>
      </c>
      <c r="K36" s="187">
        <v>0</v>
      </c>
      <c r="L36" s="196">
        <f t="shared" si="16"/>
        <v>0</v>
      </c>
      <c r="M36" s="321">
        <f t="shared" si="17"/>
        <v>0</v>
      </c>
      <c r="N36" s="189">
        <f t="shared" si="18"/>
        <v>0</v>
      </c>
      <c r="O36" s="190">
        <v>0</v>
      </c>
      <c r="P36" s="188">
        <f t="shared" si="21"/>
        <v>0</v>
      </c>
      <c r="Q36" s="432">
        <f t="shared" si="19"/>
        <v>0</v>
      </c>
      <c r="R36" s="432">
        <f t="shared" si="20"/>
        <v>0</v>
      </c>
    </row>
    <row r="37" spans="1:18" s="192" customFormat="1" ht="27.75" customHeight="1" x14ac:dyDescent="0.2">
      <c r="A37" s="498">
        <v>20210201</v>
      </c>
      <c r="B37" s="195" t="s">
        <v>31</v>
      </c>
      <c r="C37" s="176">
        <f t="shared" ref="C37:J37" si="24">SUM(C38:C41)</f>
        <v>27300000</v>
      </c>
      <c r="D37" s="176">
        <f t="shared" si="24"/>
        <v>0</v>
      </c>
      <c r="E37" s="176">
        <f t="shared" si="24"/>
        <v>0</v>
      </c>
      <c r="F37" s="176">
        <f t="shared" si="24"/>
        <v>0</v>
      </c>
      <c r="G37" s="176">
        <f t="shared" si="24"/>
        <v>0</v>
      </c>
      <c r="H37" s="176">
        <f t="shared" si="24"/>
        <v>27300000</v>
      </c>
      <c r="I37" s="176">
        <f t="shared" si="24"/>
        <v>1300000</v>
      </c>
      <c r="J37" s="176">
        <f t="shared" si="24"/>
        <v>17991039</v>
      </c>
      <c r="K37" s="177">
        <f>L37/H37</f>
        <v>0.70663146520146525</v>
      </c>
      <c r="L37" s="191">
        <f>SUM(L38:L41)</f>
        <v>19291039</v>
      </c>
      <c r="M37" s="191">
        <f>SUM(M38:M41)</f>
        <v>19291039</v>
      </c>
      <c r="N37" s="176">
        <f>SUM(N38:N41)</f>
        <v>8008961</v>
      </c>
      <c r="O37" s="179">
        <f>N37/H37</f>
        <v>0.29336853479853481</v>
      </c>
      <c r="P37" s="176">
        <f>SUM(P38:P41)</f>
        <v>19291039</v>
      </c>
      <c r="Q37" s="176">
        <f>SUM(Q38:Q41)</f>
        <v>0</v>
      </c>
      <c r="R37" s="176">
        <f t="shared" si="20"/>
        <v>0</v>
      </c>
    </row>
    <row r="38" spans="1:18" ht="15" x14ac:dyDescent="0.25">
      <c r="A38" s="496" t="s">
        <v>231</v>
      </c>
      <c r="B38" s="194" t="s">
        <v>33</v>
      </c>
      <c r="C38" s="159">
        <v>6000000</v>
      </c>
      <c r="D38" s="186"/>
      <c r="E38" s="457"/>
      <c r="F38" s="458"/>
      <c r="G38" s="459"/>
      <c r="H38" s="185">
        <f>C38-D38+E38+F38-G38</f>
        <v>6000000</v>
      </c>
      <c r="I38" s="186">
        <f>ENERO!I38+ENERO!J38</f>
        <v>0</v>
      </c>
      <c r="J38" s="499">
        <v>0</v>
      </c>
      <c r="K38" s="187">
        <v>0</v>
      </c>
      <c r="L38" s="188">
        <f>J38+I38</f>
        <v>0</v>
      </c>
      <c r="M38" s="321">
        <f>I38+J38</f>
        <v>0</v>
      </c>
      <c r="N38" s="189">
        <f>H38-L38</f>
        <v>6000000</v>
      </c>
      <c r="O38" s="190">
        <v>0</v>
      </c>
      <c r="P38" s="432">
        <f>M38</f>
        <v>0</v>
      </c>
      <c r="Q38" s="432">
        <f>M38-P38</f>
        <v>0</v>
      </c>
      <c r="R38" s="432">
        <f t="shared" si="20"/>
        <v>0</v>
      </c>
    </row>
    <row r="39" spans="1:18" ht="15.75" x14ac:dyDescent="0.25">
      <c r="A39" s="496">
        <v>2021020102</v>
      </c>
      <c r="B39" s="197" t="s">
        <v>35</v>
      </c>
      <c r="C39" s="159">
        <v>20000000</v>
      </c>
      <c r="D39" s="186"/>
      <c r="E39" s="457"/>
      <c r="F39" s="458"/>
      <c r="G39" s="459"/>
      <c r="H39" s="185">
        <f>C39-D39+E39+F39-G39</f>
        <v>20000000</v>
      </c>
      <c r="I39" s="186">
        <f>ENERO!I39+ENERO!J39</f>
        <v>1300000</v>
      </c>
      <c r="J39" s="500">
        <v>17991039</v>
      </c>
      <c r="K39" s="187">
        <f>L39/H39</f>
        <v>0.96455195000000005</v>
      </c>
      <c r="L39" s="188">
        <f>J39+I39</f>
        <v>19291039</v>
      </c>
      <c r="M39" s="321">
        <f>I39+J39</f>
        <v>19291039</v>
      </c>
      <c r="N39" s="189">
        <f>H39-L39</f>
        <v>708961</v>
      </c>
      <c r="O39" s="198">
        <f>N39/H39</f>
        <v>3.5448050000000002E-2</v>
      </c>
      <c r="P39" s="432">
        <f>M39</f>
        <v>19291039</v>
      </c>
      <c r="Q39" s="432">
        <f>M39-P39</f>
        <v>0</v>
      </c>
      <c r="R39" s="432">
        <f t="shared" si="20"/>
        <v>0</v>
      </c>
    </row>
    <row r="40" spans="1:18" ht="15" x14ac:dyDescent="0.25">
      <c r="A40" s="496" t="s">
        <v>233</v>
      </c>
      <c r="B40" s="194" t="s">
        <v>37</v>
      </c>
      <c r="C40" s="159">
        <v>1300000</v>
      </c>
      <c r="D40" s="186"/>
      <c r="E40" s="457"/>
      <c r="F40" s="458"/>
      <c r="G40" s="459"/>
      <c r="H40" s="185">
        <f>C40-D40+E40+F40-G40</f>
        <v>1300000</v>
      </c>
      <c r="I40" s="186">
        <f>ENERO!I40+ENERO!J40</f>
        <v>0</v>
      </c>
      <c r="J40" s="186"/>
      <c r="K40" s="187">
        <f>L40/H40</f>
        <v>0</v>
      </c>
      <c r="L40" s="188">
        <f>J40+I40</f>
        <v>0</v>
      </c>
      <c r="M40" s="321">
        <f>I40+J40</f>
        <v>0</v>
      </c>
      <c r="N40" s="189">
        <f>H40-L40</f>
        <v>1300000</v>
      </c>
      <c r="O40" s="198">
        <f>N40/H40</f>
        <v>1</v>
      </c>
      <c r="P40" s="188">
        <f>L40</f>
        <v>0</v>
      </c>
      <c r="Q40" s="432">
        <f>M40-P40</f>
        <v>0</v>
      </c>
      <c r="R40" s="432">
        <f t="shared" si="20"/>
        <v>0</v>
      </c>
    </row>
    <row r="41" spans="1:18" ht="15" x14ac:dyDescent="0.25">
      <c r="A41" s="181">
        <v>202120105</v>
      </c>
      <c r="B41" s="194" t="s">
        <v>39</v>
      </c>
      <c r="C41" s="159">
        <v>0</v>
      </c>
      <c r="D41" s="186"/>
      <c r="E41" s="457"/>
      <c r="F41" s="458"/>
      <c r="G41" s="459"/>
      <c r="H41" s="185">
        <f>C41-D41+E41+F41-G41</f>
        <v>0</v>
      </c>
      <c r="I41" s="186">
        <f>ENERO!I41+ENERO!J41</f>
        <v>0</v>
      </c>
      <c r="J41" s="186">
        <v>0</v>
      </c>
      <c r="K41" s="187">
        <v>0</v>
      </c>
      <c r="L41" s="196">
        <f>J41+I41</f>
        <v>0</v>
      </c>
      <c r="M41" s="321">
        <f>I41+J41</f>
        <v>0</v>
      </c>
      <c r="N41" s="189">
        <f>H41-L41</f>
        <v>0</v>
      </c>
      <c r="O41" s="198">
        <v>0</v>
      </c>
      <c r="P41" s="188">
        <f>L41</f>
        <v>0</v>
      </c>
      <c r="Q41" s="432">
        <f>M41-P41</f>
        <v>0</v>
      </c>
      <c r="R41" s="432">
        <f t="shared" si="20"/>
        <v>0</v>
      </c>
    </row>
    <row r="42" spans="1:18" s="192" customFormat="1" ht="27.75" customHeight="1" x14ac:dyDescent="0.2">
      <c r="A42" s="498" t="s">
        <v>235</v>
      </c>
      <c r="B42" s="195" t="s">
        <v>41</v>
      </c>
      <c r="C42" s="176">
        <f t="shared" ref="C42:J42" si="25">SUM(C43:C58)</f>
        <v>158227607</v>
      </c>
      <c r="D42" s="176">
        <f t="shared" si="25"/>
        <v>0</v>
      </c>
      <c r="E42" s="176">
        <f t="shared" si="25"/>
        <v>0</v>
      </c>
      <c r="F42" s="176">
        <f t="shared" si="25"/>
        <v>0</v>
      </c>
      <c r="G42" s="176">
        <f t="shared" si="25"/>
        <v>0</v>
      </c>
      <c r="H42" s="176">
        <f t="shared" si="25"/>
        <v>158227607</v>
      </c>
      <c r="I42" s="176">
        <f t="shared" si="25"/>
        <v>5692042</v>
      </c>
      <c r="J42" s="176">
        <f t="shared" si="25"/>
        <v>22463308</v>
      </c>
      <c r="K42" s="177">
        <f t="shared" ref="K42:K49" si="26">L42/H42</f>
        <v>0.17794208314102861</v>
      </c>
      <c r="L42" s="178">
        <f>SUM(L43:L58)</f>
        <v>28155350</v>
      </c>
      <c r="M42" s="178">
        <f>SUM(M43:M58)</f>
        <v>28155350</v>
      </c>
      <c r="N42" s="191">
        <f>SUM(N43:N58)</f>
        <v>130072257</v>
      </c>
      <c r="O42" s="179">
        <f t="shared" ref="O42:O47" si="27">N42/H42</f>
        <v>0.82205791685897134</v>
      </c>
      <c r="P42" s="191">
        <f>SUM(P43:P58)</f>
        <v>28155350</v>
      </c>
      <c r="Q42" s="191">
        <f>SUM(Q43:Q58)</f>
        <v>0</v>
      </c>
      <c r="R42" s="191">
        <f t="shared" si="20"/>
        <v>0</v>
      </c>
    </row>
    <row r="43" spans="1:18" ht="15.75" x14ac:dyDescent="0.25">
      <c r="A43" s="496">
        <v>2021020201</v>
      </c>
      <c r="B43" s="194" t="s">
        <v>43</v>
      </c>
      <c r="C43" s="159">
        <v>9400000</v>
      </c>
      <c r="D43" s="186"/>
      <c r="E43" s="457"/>
      <c r="F43" s="458"/>
      <c r="G43" s="459"/>
      <c r="H43" s="185">
        <f t="shared" ref="H43:H58" si="28">C43-D43+E43+F43-G43</f>
        <v>9400000</v>
      </c>
      <c r="I43" s="186">
        <f>ENERO!I43+ENERO!J43</f>
        <v>1400000</v>
      </c>
      <c r="J43" s="186"/>
      <c r="K43" s="187">
        <f t="shared" si="26"/>
        <v>0.14893617021276595</v>
      </c>
      <c r="L43" s="188">
        <f t="shared" ref="L43:L58" si="29">J43+I43</f>
        <v>1400000</v>
      </c>
      <c r="M43" s="434">
        <f t="shared" ref="M43:M60" si="30">I43+J43</f>
        <v>1400000</v>
      </c>
      <c r="N43" s="437">
        <f t="shared" ref="N43:N58" si="31">H43-L43</f>
        <v>8000000</v>
      </c>
      <c r="O43" s="436">
        <f t="shared" si="27"/>
        <v>0.85106382978723405</v>
      </c>
      <c r="P43" s="188">
        <f t="shared" ref="P43:P58" si="32">L43</f>
        <v>1400000</v>
      </c>
      <c r="Q43" s="432">
        <f t="shared" ref="Q43:Q58" si="33">M43-P43</f>
        <v>0</v>
      </c>
      <c r="R43" s="435">
        <f>SUM(R44:R47)</f>
        <v>0</v>
      </c>
    </row>
    <row r="44" spans="1:18" ht="15" x14ac:dyDescent="0.25">
      <c r="A44" s="496" t="s">
        <v>236</v>
      </c>
      <c r="B44" s="194" t="s">
        <v>44</v>
      </c>
      <c r="C44" s="159">
        <v>73027607</v>
      </c>
      <c r="D44" s="186"/>
      <c r="E44" s="457"/>
      <c r="F44" s="458"/>
      <c r="G44" s="459"/>
      <c r="H44" s="185">
        <f t="shared" si="28"/>
        <v>73027607</v>
      </c>
      <c r="I44" s="186">
        <f>ENERO!I44+ENERO!J44</f>
        <v>2642664</v>
      </c>
      <c r="J44" s="501">
        <v>17577876</v>
      </c>
      <c r="K44" s="187">
        <f t="shared" si="26"/>
        <v>0.27688898528470202</v>
      </c>
      <c r="L44" s="188">
        <f t="shared" si="29"/>
        <v>20220540</v>
      </c>
      <c r="M44" s="321">
        <f t="shared" si="30"/>
        <v>20220540</v>
      </c>
      <c r="N44" s="189">
        <f t="shared" si="31"/>
        <v>52807067</v>
      </c>
      <c r="O44" s="198">
        <f t="shared" si="27"/>
        <v>0.72311101471529804</v>
      </c>
      <c r="P44" s="188">
        <f t="shared" si="32"/>
        <v>20220540</v>
      </c>
      <c r="Q44" s="432">
        <f t="shared" si="33"/>
        <v>0</v>
      </c>
      <c r="R44" s="432">
        <f>L44-M44</f>
        <v>0</v>
      </c>
    </row>
    <row r="45" spans="1:18" ht="15" x14ac:dyDescent="0.25">
      <c r="A45" s="496" t="s">
        <v>237</v>
      </c>
      <c r="B45" s="194" t="s">
        <v>46</v>
      </c>
      <c r="C45" s="159">
        <v>2000000</v>
      </c>
      <c r="D45" s="186"/>
      <c r="E45" s="457"/>
      <c r="F45" s="458"/>
      <c r="G45" s="459"/>
      <c r="H45" s="185">
        <f t="shared" si="28"/>
        <v>2000000</v>
      </c>
      <c r="I45" s="186">
        <f>ENERO!I45+ENERO!J45</f>
        <v>300000</v>
      </c>
      <c r="J45" s="502"/>
      <c r="K45" s="187">
        <f t="shared" si="26"/>
        <v>0.15</v>
      </c>
      <c r="L45" s="188">
        <f t="shared" si="29"/>
        <v>300000</v>
      </c>
      <c r="M45" s="321">
        <f t="shared" si="30"/>
        <v>300000</v>
      </c>
      <c r="N45" s="189">
        <f t="shared" si="31"/>
        <v>1700000</v>
      </c>
      <c r="O45" s="198">
        <f t="shared" si="27"/>
        <v>0.85</v>
      </c>
      <c r="P45" s="188">
        <f t="shared" si="32"/>
        <v>300000</v>
      </c>
      <c r="Q45" s="432">
        <f t="shared" si="33"/>
        <v>0</v>
      </c>
      <c r="R45" s="432">
        <f>L45-M45</f>
        <v>0</v>
      </c>
    </row>
    <row r="46" spans="1:18" ht="15.75" x14ac:dyDescent="0.25">
      <c r="A46" s="496" t="s">
        <v>238</v>
      </c>
      <c r="B46" s="194" t="s">
        <v>48</v>
      </c>
      <c r="C46" s="159">
        <f>750000*12</f>
        <v>9000000</v>
      </c>
      <c r="D46" s="186"/>
      <c r="E46" s="457"/>
      <c r="F46" s="458"/>
      <c r="G46" s="459"/>
      <c r="H46" s="185">
        <f t="shared" si="28"/>
        <v>9000000</v>
      </c>
      <c r="I46" s="186">
        <f>ENERO!I46+ENERO!J46</f>
        <v>784000</v>
      </c>
      <c r="J46" s="500">
        <v>544700</v>
      </c>
      <c r="K46" s="187">
        <f t="shared" si="26"/>
        <v>0.14763333333333334</v>
      </c>
      <c r="L46" s="188">
        <f t="shared" si="29"/>
        <v>1328700</v>
      </c>
      <c r="M46" s="321">
        <f t="shared" si="30"/>
        <v>1328700</v>
      </c>
      <c r="N46" s="189">
        <f t="shared" si="31"/>
        <v>7671300</v>
      </c>
      <c r="O46" s="190">
        <f t="shared" si="27"/>
        <v>0.85236666666666672</v>
      </c>
      <c r="P46" s="188">
        <f t="shared" si="32"/>
        <v>1328700</v>
      </c>
      <c r="Q46" s="432">
        <f t="shared" si="33"/>
        <v>0</v>
      </c>
      <c r="R46" s="432">
        <f>L46-M46</f>
        <v>0</v>
      </c>
    </row>
    <row r="47" spans="1:18" ht="15.75" x14ac:dyDescent="0.25">
      <c r="A47" s="496" t="s">
        <v>239</v>
      </c>
      <c r="B47" s="194" t="s">
        <v>50</v>
      </c>
      <c r="C47" s="159">
        <v>4500000</v>
      </c>
      <c r="D47" s="186"/>
      <c r="E47" s="457"/>
      <c r="F47" s="458"/>
      <c r="G47" s="459"/>
      <c r="H47" s="185">
        <f t="shared" si="28"/>
        <v>4500000</v>
      </c>
      <c r="I47" s="186">
        <f>ENERO!I47+ENERO!J47</f>
        <v>190400</v>
      </c>
      <c r="J47" s="503">
        <v>151957</v>
      </c>
      <c r="K47" s="187">
        <f t="shared" si="26"/>
        <v>7.6079333333333332E-2</v>
      </c>
      <c r="L47" s="188">
        <f t="shared" si="29"/>
        <v>342357</v>
      </c>
      <c r="M47" s="321">
        <f t="shared" si="30"/>
        <v>342357</v>
      </c>
      <c r="N47" s="189">
        <f t="shared" si="31"/>
        <v>4157643</v>
      </c>
      <c r="O47" s="190">
        <f t="shared" si="27"/>
        <v>0.92392066666666661</v>
      </c>
      <c r="P47" s="188">
        <f t="shared" si="32"/>
        <v>342357</v>
      </c>
      <c r="Q47" s="432">
        <f t="shared" si="33"/>
        <v>0</v>
      </c>
      <c r="R47" s="432">
        <f>L47-M47</f>
        <v>0</v>
      </c>
    </row>
    <row r="48" spans="1:18" ht="15.75" x14ac:dyDescent="0.25">
      <c r="A48" s="496" t="s">
        <v>240</v>
      </c>
      <c r="B48" s="194" t="s">
        <v>52</v>
      </c>
      <c r="C48" s="159">
        <v>2500000</v>
      </c>
      <c r="D48" s="186"/>
      <c r="E48" s="457"/>
      <c r="F48" s="458"/>
      <c r="G48" s="459"/>
      <c r="H48" s="185">
        <f t="shared" si="28"/>
        <v>2500000</v>
      </c>
      <c r="I48" s="186">
        <f>ENERO!I48+ENERO!J48</f>
        <v>56600</v>
      </c>
      <c r="J48" s="139">
        <v>157814</v>
      </c>
      <c r="K48" s="187">
        <f t="shared" si="26"/>
        <v>8.5765599999999997E-2</v>
      </c>
      <c r="L48" s="188">
        <f t="shared" si="29"/>
        <v>214414</v>
      </c>
      <c r="M48" s="434">
        <f t="shared" si="30"/>
        <v>214414</v>
      </c>
      <c r="N48" s="189">
        <f t="shared" si="31"/>
        <v>2285586</v>
      </c>
      <c r="O48" s="190">
        <v>0</v>
      </c>
      <c r="P48" s="188">
        <f t="shared" si="32"/>
        <v>214414</v>
      </c>
      <c r="Q48" s="432">
        <f t="shared" si="33"/>
        <v>0</v>
      </c>
      <c r="R48" s="433">
        <f>SUM(R49:R58)</f>
        <v>0</v>
      </c>
    </row>
    <row r="49" spans="1:18" ht="15" x14ac:dyDescent="0.25">
      <c r="A49" s="496" t="s">
        <v>241</v>
      </c>
      <c r="B49" s="197" t="s">
        <v>54</v>
      </c>
      <c r="C49" s="159">
        <v>1500000</v>
      </c>
      <c r="D49" s="186"/>
      <c r="E49" s="457"/>
      <c r="F49" s="458"/>
      <c r="G49" s="459"/>
      <c r="H49" s="185">
        <f t="shared" si="28"/>
        <v>1500000</v>
      </c>
      <c r="I49" s="186">
        <f>ENERO!I49+ENERO!J49</f>
        <v>200000</v>
      </c>
      <c r="J49" s="186"/>
      <c r="K49" s="187">
        <f t="shared" si="26"/>
        <v>0.13333333333333333</v>
      </c>
      <c r="L49" s="188">
        <f t="shared" si="29"/>
        <v>200000</v>
      </c>
      <c r="M49" s="321">
        <f t="shared" si="30"/>
        <v>200000</v>
      </c>
      <c r="N49" s="189">
        <f t="shared" si="31"/>
        <v>1300000</v>
      </c>
      <c r="O49" s="190">
        <f>N49/H49</f>
        <v>0.8666666666666667</v>
      </c>
      <c r="P49" s="188">
        <f t="shared" si="32"/>
        <v>200000</v>
      </c>
      <c r="Q49" s="432">
        <f t="shared" si="33"/>
        <v>0</v>
      </c>
      <c r="R49" s="432">
        <f t="shared" ref="R49:R58" si="34">L49-M49</f>
        <v>0</v>
      </c>
    </row>
    <row r="50" spans="1:18" ht="15" x14ac:dyDescent="0.25">
      <c r="A50" s="181">
        <v>2021020208</v>
      </c>
      <c r="B50" s="194" t="s">
        <v>56</v>
      </c>
      <c r="C50" s="159">
        <v>0</v>
      </c>
      <c r="D50" s="186"/>
      <c r="E50" s="457"/>
      <c r="F50" s="458"/>
      <c r="G50" s="459"/>
      <c r="H50" s="185">
        <f t="shared" si="28"/>
        <v>0</v>
      </c>
      <c r="I50" s="186">
        <f>ENERO!I50+ENERO!J50</f>
        <v>0</v>
      </c>
      <c r="J50" s="186"/>
      <c r="K50" s="187">
        <v>0</v>
      </c>
      <c r="L50" s="188">
        <f t="shared" si="29"/>
        <v>0</v>
      </c>
      <c r="M50" s="321">
        <f t="shared" si="30"/>
        <v>0</v>
      </c>
      <c r="N50" s="189">
        <f t="shared" si="31"/>
        <v>0</v>
      </c>
      <c r="O50" s="190">
        <v>0</v>
      </c>
      <c r="P50" s="188">
        <f t="shared" si="32"/>
        <v>0</v>
      </c>
      <c r="Q50" s="432">
        <f t="shared" si="33"/>
        <v>0</v>
      </c>
      <c r="R50" s="432">
        <f t="shared" si="34"/>
        <v>0</v>
      </c>
    </row>
    <row r="51" spans="1:18" ht="15.75" x14ac:dyDescent="0.25">
      <c r="A51" s="496" t="s">
        <v>242</v>
      </c>
      <c r="B51" s="194" t="s">
        <v>58</v>
      </c>
      <c r="C51" s="159">
        <v>5000000</v>
      </c>
      <c r="D51" s="186"/>
      <c r="E51" s="457"/>
      <c r="F51" s="458"/>
      <c r="G51" s="459"/>
      <c r="H51" s="185">
        <f t="shared" si="28"/>
        <v>5000000</v>
      </c>
      <c r="I51" s="186">
        <f>ENERO!I51+ENERO!J51</f>
        <v>118378</v>
      </c>
      <c r="J51" s="345">
        <v>2245961</v>
      </c>
      <c r="K51" s="187">
        <f>L51/H51</f>
        <v>0.4728678</v>
      </c>
      <c r="L51" s="188">
        <f t="shared" si="29"/>
        <v>2364339</v>
      </c>
      <c r="M51" s="321">
        <f t="shared" si="30"/>
        <v>2364339</v>
      </c>
      <c r="N51" s="189">
        <f t="shared" si="31"/>
        <v>2635661</v>
      </c>
      <c r="O51" s="190">
        <f>N51/H51</f>
        <v>0.52713220000000005</v>
      </c>
      <c r="P51" s="188">
        <f t="shared" si="32"/>
        <v>2364339</v>
      </c>
      <c r="Q51" s="432">
        <f t="shared" si="33"/>
        <v>0</v>
      </c>
      <c r="R51" s="432">
        <f t="shared" si="34"/>
        <v>0</v>
      </c>
    </row>
    <row r="52" spans="1:18" ht="15" x14ac:dyDescent="0.25">
      <c r="A52" s="496" t="s">
        <v>243</v>
      </c>
      <c r="B52" s="197" t="s">
        <v>60</v>
      </c>
      <c r="C52" s="159">
        <v>24000000</v>
      </c>
      <c r="D52" s="186"/>
      <c r="E52" s="457"/>
      <c r="F52" s="458"/>
      <c r="G52" s="459"/>
      <c r="H52" s="185">
        <f t="shared" si="28"/>
        <v>24000000</v>
      </c>
      <c r="I52" s="186">
        <f>ENERO!I52+ENERO!J52</f>
        <v>0</v>
      </c>
      <c r="J52" s="6">
        <v>0</v>
      </c>
      <c r="K52" s="187">
        <f>L52/H52</f>
        <v>0</v>
      </c>
      <c r="L52" s="188">
        <f t="shared" si="29"/>
        <v>0</v>
      </c>
      <c r="M52" s="321">
        <f t="shared" si="30"/>
        <v>0</v>
      </c>
      <c r="N52" s="189">
        <f t="shared" si="31"/>
        <v>24000000</v>
      </c>
      <c r="O52" s="190">
        <f>N52/H52</f>
        <v>1</v>
      </c>
      <c r="P52" s="188">
        <f t="shared" si="32"/>
        <v>0</v>
      </c>
      <c r="Q52" s="432">
        <f t="shared" si="33"/>
        <v>0</v>
      </c>
      <c r="R52" s="432">
        <f t="shared" si="34"/>
        <v>0</v>
      </c>
    </row>
    <row r="53" spans="1:18" ht="15.75" x14ac:dyDescent="0.25">
      <c r="A53" s="496" t="s">
        <v>244</v>
      </c>
      <c r="B53" s="194" t="s">
        <v>62</v>
      </c>
      <c r="C53" s="159">
        <v>4000000</v>
      </c>
      <c r="D53" s="186"/>
      <c r="E53" s="457"/>
      <c r="F53" s="458"/>
      <c r="G53" s="459"/>
      <c r="H53" s="185">
        <f t="shared" si="28"/>
        <v>4000000</v>
      </c>
      <c r="I53" s="186">
        <f>ENERO!I53+ENERO!J53</f>
        <v>0</v>
      </c>
      <c r="J53" s="345">
        <v>1785000</v>
      </c>
      <c r="K53" s="187">
        <v>0</v>
      </c>
      <c r="L53" s="188">
        <f t="shared" si="29"/>
        <v>1785000</v>
      </c>
      <c r="M53" s="321">
        <f t="shared" si="30"/>
        <v>1785000</v>
      </c>
      <c r="N53" s="189">
        <f t="shared" si="31"/>
        <v>2215000</v>
      </c>
      <c r="O53" s="190">
        <v>0</v>
      </c>
      <c r="P53" s="188">
        <f t="shared" si="32"/>
        <v>1785000</v>
      </c>
      <c r="Q53" s="432">
        <f t="shared" si="33"/>
        <v>0</v>
      </c>
      <c r="R53" s="432">
        <f t="shared" si="34"/>
        <v>0</v>
      </c>
    </row>
    <row r="54" spans="1:18" ht="15" x14ac:dyDescent="0.25">
      <c r="A54" s="496" t="s">
        <v>245</v>
      </c>
      <c r="B54" s="194" t="s">
        <v>64</v>
      </c>
      <c r="C54" s="159">
        <v>22000000</v>
      </c>
      <c r="D54" s="186"/>
      <c r="E54" s="457"/>
      <c r="F54" s="458"/>
      <c r="G54" s="459"/>
      <c r="H54" s="185">
        <f t="shared" si="28"/>
        <v>22000000</v>
      </c>
      <c r="I54" s="186">
        <f>ENERO!I54+ENERO!J54</f>
        <v>0</v>
      </c>
      <c r="J54" s="186">
        <v>0</v>
      </c>
      <c r="K54" s="187">
        <v>0</v>
      </c>
      <c r="L54" s="188">
        <f t="shared" si="29"/>
        <v>0</v>
      </c>
      <c r="M54" s="321">
        <f t="shared" si="30"/>
        <v>0</v>
      </c>
      <c r="N54" s="189">
        <f t="shared" si="31"/>
        <v>22000000</v>
      </c>
      <c r="O54" s="190">
        <v>0</v>
      </c>
      <c r="P54" s="188">
        <f t="shared" si="32"/>
        <v>0</v>
      </c>
      <c r="Q54" s="432">
        <f t="shared" si="33"/>
        <v>0</v>
      </c>
      <c r="R54" s="432">
        <f t="shared" si="34"/>
        <v>0</v>
      </c>
    </row>
    <row r="55" spans="1:18" ht="15" x14ac:dyDescent="0.25">
      <c r="A55" s="181">
        <v>2021020213</v>
      </c>
      <c r="B55" s="194" t="s">
        <v>65</v>
      </c>
      <c r="C55" s="159">
        <v>0</v>
      </c>
      <c r="D55" s="186"/>
      <c r="E55" s="457"/>
      <c r="F55" s="458"/>
      <c r="G55" s="459"/>
      <c r="H55" s="185">
        <f t="shared" si="28"/>
        <v>0</v>
      </c>
      <c r="I55" s="186">
        <f>ENERO!I55+ENERO!J55</f>
        <v>0</v>
      </c>
      <c r="J55" s="186">
        <v>0</v>
      </c>
      <c r="K55" s="187">
        <v>0</v>
      </c>
      <c r="L55" s="188">
        <f t="shared" si="29"/>
        <v>0</v>
      </c>
      <c r="M55" s="321">
        <f t="shared" si="30"/>
        <v>0</v>
      </c>
      <c r="N55" s="189">
        <f t="shared" si="31"/>
        <v>0</v>
      </c>
      <c r="O55" s="190">
        <v>0</v>
      </c>
      <c r="P55" s="188">
        <f t="shared" si="32"/>
        <v>0</v>
      </c>
      <c r="Q55" s="432">
        <f t="shared" si="33"/>
        <v>0</v>
      </c>
      <c r="R55" s="432">
        <f t="shared" si="34"/>
        <v>0</v>
      </c>
    </row>
    <row r="56" spans="1:18" ht="15" x14ac:dyDescent="0.25">
      <c r="A56" s="181">
        <v>2021020214</v>
      </c>
      <c r="B56" s="194" t="s">
        <v>67</v>
      </c>
      <c r="C56" s="159">
        <v>0</v>
      </c>
      <c r="D56" s="186"/>
      <c r="E56" s="457"/>
      <c r="F56" s="458"/>
      <c r="G56" s="459"/>
      <c r="H56" s="185">
        <f t="shared" si="28"/>
        <v>0</v>
      </c>
      <c r="I56" s="186">
        <f>ENERO!I56+ENERO!J56</f>
        <v>0</v>
      </c>
      <c r="J56" s="186">
        <v>0</v>
      </c>
      <c r="K56" s="187">
        <v>0</v>
      </c>
      <c r="L56" s="188">
        <f t="shared" si="29"/>
        <v>0</v>
      </c>
      <c r="M56" s="321">
        <f t="shared" si="30"/>
        <v>0</v>
      </c>
      <c r="N56" s="189">
        <f t="shared" si="31"/>
        <v>0</v>
      </c>
      <c r="O56" s="190">
        <v>0</v>
      </c>
      <c r="P56" s="188">
        <f t="shared" si="32"/>
        <v>0</v>
      </c>
      <c r="Q56" s="432">
        <f t="shared" si="33"/>
        <v>0</v>
      </c>
      <c r="R56" s="432">
        <f t="shared" si="34"/>
        <v>0</v>
      </c>
    </row>
    <row r="57" spans="1:18" ht="15" x14ac:dyDescent="0.25">
      <c r="A57" s="496" t="s">
        <v>246</v>
      </c>
      <c r="B57" s="194" t="s">
        <v>97</v>
      </c>
      <c r="C57" s="159">
        <v>1300000</v>
      </c>
      <c r="D57" s="186"/>
      <c r="E57" s="457"/>
      <c r="F57" s="458"/>
      <c r="G57" s="459"/>
      <c r="H57" s="185">
        <f t="shared" si="28"/>
        <v>1300000</v>
      </c>
      <c r="I57" s="186">
        <f>ENERO!I57+ENERO!J57</f>
        <v>0</v>
      </c>
      <c r="J57" s="186">
        <v>0</v>
      </c>
      <c r="K57" s="187">
        <f>L57/H57</f>
        <v>0</v>
      </c>
      <c r="L57" s="188">
        <f t="shared" si="29"/>
        <v>0</v>
      </c>
      <c r="M57" s="321">
        <f t="shared" si="30"/>
        <v>0</v>
      </c>
      <c r="N57" s="189">
        <f t="shared" si="31"/>
        <v>1300000</v>
      </c>
      <c r="O57" s="190">
        <f>N57/H57</f>
        <v>1</v>
      </c>
      <c r="P57" s="188">
        <f t="shared" si="32"/>
        <v>0</v>
      </c>
      <c r="Q57" s="432">
        <f t="shared" si="33"/>
        <v>0</v>
      </c>
      <c r="R57" s="432">
        <f t="shared" si="34"/>
        <v>0</v>
      </c>
    </row>
    <row r="58" spans="1:18" ht="15" x14ac:dyDescent="0.25">
      <c r="A58" s="199">
        <v>2021020216</v>
      </c>
      <c r="B58" s="194" t="s">
        <v>148</v>
      </c>
      <c r="C58" s="159">
        <v>0</v>
      </c>
      <c r="D58" s="186"/>
      <c r="E58" s="457"/>
      <c r="F58" s="458"/>
      <c r="G58" s="459"/>
      <c r="H58" s="185">
        <f t="shared" si="28"/>
        <v>0</v>
      </c>
      <c r="I58" s="186">
        <f>ENERO!I58+ENERO!J58</f>
        <v>0</v>
      </c>
      <c r="J58" s="186">
        <v>0</v>
      </c>
      <c r="K58" s="187">
        <v>0</v>
      </c>
      <c r="L58" s="188">
        <f t="shared" si="29"/>
        <v>0</v>
      </c>
      <c r="M58" s="321">
        <f t="shared" si="30"/>
        <v>0</v>
      </c>
      <c r="N58" s="189">
        <f t="shared" si="31"/>
        <v>0</v>
      </c>
      <c r="O58" s="190">
        <v>0</v>
      </c>
      <c r="P58" s="188">
        <f t="shared" si="32"/>
        <v>0</v>
      </c>
      <c r="Q58" s="432">
        <f t="shared" si="33"/>
        <v>0</v>
      </c>
      <c r="R58" s="432">
        <f t="shared" si="34"/>
        <v>0</v>
      </c>
    </row>
    <row r="59" spans="1:18" ht="27" customHeight="1" x14ac:dyDescent="0.2">
      <c r="A59" s="497">
        <v>20210301</v>
      </c>
      <c r="B59" s="195" t="s">
        <v>95</v>
      </c>
      <c r="C59" s="201">
        <f>C60</f>
        <v>0</v>
      </c>
      <c r="D59" s="206">
        <f>D60</f>
        <v>0</v>
      </c>
      <c r="E59" s="206">
        <f>E60</f>
        <v>0</v>
      </c>
      <c r="F59" s="206">
        <f>F60</f>
        <v>0</v>
      </c>
      <c r="G59" s="206">
        <f>G60</f>
        <v>0</v>
      </c>
      <c r="H59" s="176">
        <f>SUM(H60:H60)</f>
        <v>0</v>
      </c>
      <c r="I59" s="176">
        <f>SUM(I60:I60)</f>
        <v>0</v>
      </c>
      <c r="J59" s="176">
        <f>SUM(J60:J60)</f>
        <v>0</v>
      </c>
      <c r="K59" s="177">
        <f>K60</f>
        <v>1</v>
      </c>
      <c r="L59" s="178">
        <f>L60</f>
        <v>0</v>
      </c>
      <c r="M59" s="191">
        <f t="shared" si="30"/>
        <v>0</v>
      </c>
      <c r="N59" s="191">
        <f>SUM(N60:N60)</f>
        <v>0</v>
      </c>
      <c r="O59" s="179">
        <v>0</v>
      </c>
      <c r="P59" s="176">
        <f>SUM(P60:P60)</f>
        <v>0</v>
      </c>
      <c r="Q59" s="176">
        <f>SUM(Q60:Q60)</f>
        <v>0</v>
      </c>
      <c r="R59" s="176">
        <f>SUM(R60:R60)</f>
        <v>0</v>
      </c>
    </row>
    <row r="60" spans="1:18" ht="15" x14ac:dyDescent="0.25">
      <c r="A60" s="207">
        <v>2021030101</v>
      </c>
      <c r="B60" s="208" t="s">
        <v>96</v>
      </c>
      <c r="C60" s="183"/>
      <c r="D60" s="209">
        <v>0</v>
      </c>
      <c r="E60" s="457"/>
      <c r="F60" s="458"/>
      <c r="G60" s="459"/>
      <c r="H60" s="185">
        <f>C60-D60+E60+F60-G60</f>
        <v>0</v>
      </c>
      <c r="I60" s="186">
        <f>ENERO!I60+ENERO!J60</f>
        <v>0</v>
      </c>
      <c r="J60" s="209">
        <v>0</v>
      </c>
      <c r="K60" s="187">
        <v>1</v>
      </c>
      <c r="L60" s="188">
        <f>J60+I60</f>
        <v>0</v>
      </c>
      <c r="M60" s="321">
        <f t="shared" si="30"/>
        <v>0</v>
      </c>
      <c r="N60" s="189">
        <f>H60-L60</f>
        <v>0</v>
      </c>
      <c r="O60" s="190">
        <v>0</v>
      </c>
      <c r="P60" s="188">
        <f>L60</f>
        <v>0</v>
      </c>
      <c r="Q60" s="432">
        <f>M60-P60</f>
        <v>0</v>
      </c>
      <c r="R60" s="188"/>
    </row>
    <row r="61" spans="1:18" s="216" customFormat="1" ht="31.5" customHeight="1" x14ac:dyDescent="0.2">
      <c r="A61" s="210"/>
      <c r="B61" s="211" t="s">
        <v>165</v>
      </c>
      <c r="C61" s="212">
        <f>C26+C21+C42+C17+C37+C8+C59</f>
        <v>1168442348</v>
      </c>
      <c r="D61" s="213">
        <f>D9+D26</f>
        <v>0</v>
      </c>
      <c r="E61" s="213">
        <f>E8+E17+E37+E42+E21+E26+E59</f>
        <v>0</v>
      </c>
      <c r="F61" s="213">
        <f>F8+F17+F37+F42++F21+F26+F59</f>
        <v>3000000</v>
      </c>
      <c r="G61" s="213">
        <f>G8+G17+G37+G42+G21+G26+G59</f>
        <v>3000000</v>
      </c>
      <c r="H61" s="213">
        <f>H8+H17+H37+H42+H21+H26+H59</f>
        <v>1168442348</v>
      </c>
      <c r="I61" s="213">
        <f>I8+I17+I37+I42+I21+I26+I59</f>
        <v>75436519.866666675</v>
      </c>
      <c r="J61" s="213">
        <f>J8+J17+J37+J42+J21+J26+J59</f>
        <v>59798337</v>
      </c>
      <c r="K61" s="214">
        <f>L61/H61</f>
        <v>0.115739434725338</v>
      </c>
      <c r="L61" s="213">
        <f>L8+L17+L37+L42+L21+L26+L59</f>
        <v>135234856.86666667</v>
      </c>
      <c r="M61" s="213">
        <f>M8+M17+M37+M42+M21+M26+M59</f>
        <v>135234856.86666667</v>
      </c>
      <c r="N61" s="213">
        <f>N8+N17+N37+N42+N21+N26+N59</f>
        <v>1033207491.1333333</v>
      </c>
      <c r="O61" s="215">
        <f>N61/H61</f>
        <v>0.88426056527466201</v>
      </c>
      <c r="P61" s="213">
        <f>P8+P17+P37+P42+P21+P26+P59</f>
        <v>122890866.86666667</v>
      </c>
      <c r="Q61" s="213">
        <f>Q8+Q17+Q37+Q42+Q21+Q26+Q59</f>
        <v>12343990</v>
      </c>
      <c r="R61" s="213">
        <f>R9+R17+R21+R26+R43+R48+R59</f>
        <v>0</v>
      </c>
    </row>
    <row r="62" spans="1:18" ht="35.25" customHeight="1" x14ac:dyDescent="0.25">
      <c r="A62" s="431" t="s">
        <v>166</v>
      </c>
      <c r="B62" s="682" t="s">
        <v>167</v>
      </c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4"/>
      <c r="P62" s="217"/>
      <c r="Q62" s="217"/>
      <c r="R62" s="217"/>
    </row>
    <row r="64" spans="1:18" x14ac:dyDescent="0.2">
      <c r="D64" s="218"/>
      <c r="E64" s="218"/>
      <c r="F64" s="218"/>
      <c r="G64" s="218"/>
      <c r="N64" s="218"/>
    </row>
    <row r="65" spans="4:14" x14ac:dyDescent="0.2">
      <c r="G65" s="218"/>
      <c r="I65" s="218"/>
      <c r="J65" s="221"/>
      <c r="N65" s="218"/>
    </row>
    <row r="66" spans="4:14" x14ac:dyDescent="0.2">
      <c r="D66" s="218"/>
      <c r="J66" s="218"/>
      <c r="K66" s="218"/>
      <c r="N66" s="218"/>
    </row>
    <row r="67" spans="4:14" x14ac:dyDescent="0.2">
      <c r="H67" s="218"/>
      <c r="J67" s="218"/>
      <c r="N67" s="218"/>
    </row>
    <row r="68" spans="4:14" x14ac:dyDescent="0.2">
      <c r="H68" s="218"/>
      <c r="J68" s="218"/>
    </row>
  </sheetData>
  <mergeCells count="5">
    <mergeCell ref="A1:O1"/>
    <mergeCell ref="A2:O2"/>
    <mergeCell ref="A3:O3"/>
    <mergeCell ref="K5:K6"/>
    <mergeCell ref="B62:O62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FC1B-1EB5-4B2C-A958-C34DC1CB36E8}">
  <sheetPr>
    <tabColor rgb="FF0070C0"/>
  </sheetPr>
  <dimension ref="A1:R68"/>
  <sheetViews>
    <sheetView showGridLines="0" view="pageBreakPreview" zoomScale="80" zoomScaleNormal="80" zoomScaleSheetLayoutView="80" workbookViewId="0">
      <pane xSplit="2" ySplit="7" topLeftCell="F44" activePane="bottomRight" state="frozen"/>
      <selection activeCell="J677" sqref="J677"/>
      <selection pane="topRight" activeCell="J677" sqref="J677"/>
      <selection pane="bottomLeft" activeCell="J677" sqref="J677"/>
      <selection pane="bottomRight" activeCell="J19" sqref="J19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270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I8" si="0">SUM(C9:C16)</f>
        <v>699585000</v>
      </c>
      <c r="D8" s="176">
        <f t="shared" si="0"/>
        <v>0</v>
      </c>
      <c r="E8" s="176">
        <f t="shared" si="0"/>
        <v>0</v>
      </c>
      <c r="F8" s="176">
        <f t="shared" si="0"/>
        <v>0</v>
      </c>
      <c r="G8" s="176">
        <f t="shared" si="0"/>
        <v>13000000</v>
      </c>
      <c r="H8" s="176">
        <f t="shared" si="0"/>
        <v>686585000</v>
      </c>
      <c r="I8" s="176">
        <f t="shared" si="0"/>
        <v>29519098.866666667</v>
      </c>
      <c r="J8" s="176">
        <f>SUM(J9:J16)</f>
        <v>86635029</v>
      </c>
      <c r="K8" s="177">
        <f>L8/H8</f>
        <v>0.16917661741323603</v>
      </c>
      <c r="L8" s="178">
        <f>SUM(L9:L16)</f>
        <v>116154127.86666666</v>
      </c>
      <c r="M8" s="178">
        <f>SUM(M9:M16)</f>
        <v>116154127.86666666</v>
      </c>
      <c r="N8" s="176">
        <f>SUM(N9:N16)</f>
        <v>570430872.13333333</v>
      </c>
      <c r="O8" s="179">
        <f t="shared" ref="O8:O18" si="1">N8/H8</f>
        <v>0.83082338258676391</v>
      </c>
      <c r="P8" s="176">
        <f>SUM(P9:P16)</f>
        <v>116154127.86666666</v>
      </c>
      <c r="Q8" s="176">
        <f>SUM(Q9:Q16)</f>
        <v>0</v>
      </c>
      <c r="R8" s="176">
        <f>SUM(R9:R16)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>
        <f>3000000+10000000</f>
        <v>13000000</v>
      </c>
      <c r="H9" s="185">
        <f t="shared" ref="H9:H16" si="2">C9-D9+E9+F9-G9</f>
        <v>523000000</v>
      </c>
      <c r="I9" s="186">
        <f>FEBRERO!I9+FEBRERO!J9</f>
        <v>25228716</v>
      </c>
      <c r="J9" s="186">
        <f>40132382+46157543</f>
        <v>86289925</v>
      </c>
      <c r="K9" s="187">
        <f>L9/H9</f>
        <v>0.21322875908221797</v>
      </c>
      <c r="L9" s="188">
        <f t="shared" ref="L9:L16" si="3">J9+I9</f>
        <v>111518641</v>
      </c>
      <c r="M9" s="321">
        <f t="shared" ref="M9:M16" si="4">I9+J9</f>
        <v>111518641</v>
      </c>
      <c r="N9" s="189">
        <f t="shared" ref="N9:N16" si="5">H9-L9</f>
        <v>411481359</v>
      </c>
      <c r="O9" s="190">
        <f t="shared" si="1"/>
        <v>0.78677124091778206</v>
      </c>
      <c r="P9" s="432">
        <f>M9</f>
        <v>111518641</v>
      </c>
      <c r="Q9" s="432">
        <f t="shared" ref="Q9:Q16" si="6">M9-P9</f>
        <v>0</v>
      </c>
      <c r="R9" s="432">
        <f t="shared" ref="R9:R16" si="7">L9-M9</f>
        <v>0</v>
      </c>
    </row>
    <row r="10" spans="1:18" ht="15" x14ac:dyDescent="0.25">
      <c r="A10" s="496" t="s">
        <v>210</v>
      </c>
      <c r="B10" s="182" t="s">
        <v>11</v>
      </c>
      <c r="C10" s="159">
        <v>1320000</v>
      </c>
      <c r="D10" s="184"/>
      <c r="E10" s="457"/>
      <c r="F10" s="458"/>
      <c r="G10" s="459"/>
      <c r="H10" s="185">
        <f t="shared" si="2"/>
        <v>1320000</v>
      </c>
      <c r="I10" s="186">
        <f>FEBRERO!I10+FEBRERO!J10</f>
        <v>67420.866666666669</v>
      </c>
      <c r="J10" s="186">
        <f>106454+106454</f>
        <v>212908</v>
      </c>
      <c r="K10" s="187">
        <f t="shared" ref="K10:K16" si="8">L10/H10</f>
        <v>0.21237035353535355</v>
      </c>
      <c r="L10" s="188">
        <f t="shared" si="3"/>
        <v>280328.8666666667</v>
      </c>
      <c r="M10" s="321">
        <f t="shared" si="4"/>
        <v>280328.8666666667</v>
      </c>
      <c r="N10" s="189">
        <f t="shared" si="5"/>
        <v>1039671.1333333333</v>
      </c>
      <c r="O10" s="190">
        <f t="shared" si="1"/>
        <v>0.78762964646464639</v>
      </c>
      <c r="P10" s="432">
        <f t="shared" ref="P10:P16" si="9">L10</f>
        <v>280328.8666666667</v>
      </c>
      <c r="Q10" s="432">
        <f t="shared" si="6"/>
        <v>0</v>
      </c>
      <c r="R10" s="432">
        <f t="shared" si="7"/>
        <v>0</v>
      </c>
    </row>
    <row r="11" spans="1:18" ht="15.75" customHeight="1" x14ac:dyDescent="0.25">
      <c r="A11" s="496" t="s">
        <v>211</v>
      </c>
      <c r="B11" s="182" t="s">
        <v>13</v>
      </c>
      <c r="C11" s="159">
        <v>848000</v>
      </c>
      <c r="D11" s="184"/>
      <c r="E11" s="457"/>
      <c r="F11" s="458"/>
      <c r="G11" s="459"/>
      <c r="H11" s="185">
        <f t="shared" si="2"/>
        <v>848000</v>
      </c>
      <c r="I11" s="186">
        <f>FEBRERO!I11+FEBRERO!J11</f>
        <v>41862</v>
      </c>
      <c r="J11" s="186">
        <f>66098+66098</f>
        <v>132196</v>
      </c>
      <c r="K11" s="187">
        <f t="shared" si="8"/>
        <v>0.20525707547169811</v>
      </c>
      <c r="L11" s="188">
        <f t="shared" si="3"/>
        <v>174058</v>
      </c>
      <c r="M11" s="321">
        <f t="shared" si="4"/>
        <v>174058</v>
      </c>
      <c r="N11" s="189">
        <f t="shared" si="5"/>
        <v>673942</v>
      </c>
      <c r="O11" s="190">
        <f t="shared" si="1"/>
        <v>0.79474292452830186</v>
      </c>
      <c r="P11" s="432">
        <f t="shared" si="9"/>
        <v>174058</v>
      </c>
      <c r="Q11" s="432">
        <f t="shared" si="6"/>
        <v>0</v>
      </c>
      <c r="R11" s="432">
        <f t="shared" si="7"/>
        <v>0</v>
      </c>
    </row>
    <row r="12" spans="1:18" ht="15" x14ac:dyDescent="0.25">
      <c r="A12" s="496" t="s">
        <v>212</v>
      </c>
      <c r="B12" s="182" t="s">
        <v>15</v>
      </c>
      <c r="C12" s="159">
        <v>16300000</v>
      </c>
      <c r="D12" s="184"/>
      <c r="E12" s="457"/>
      <c r="F12" s="458"/>
      <c r="G12" s="459"/>
      <c r="H12" s="185">
        <f t="shared" si="2"/>
        <v>16300000</v>
      </c>
      <c r="I12" s="186">
        <f>FEBRERO!I12+FEBRERO!J12</f>
        <v>4181100</v>
      </c>
      <c r="J12" s="186">
        <v>0</v>
      </c>
      <c r="K12" s="187">
        <f t="shared" si="8"/>
        <v>0.25650920245398773</v>
      </c>
      <c r="L12" s="188">
        <f t="shared" si="3"/>
        <v>4181100</v>
      </c>
      <c r="M12" s="321">
        <f t="shared" si="4"/>
        <v>4181100</v>
      </c>
      <c r="N12" s="189">
        <f t="shared" si="5"/>
        <v>12118900</v>
      </c>
      <c r="O12" s="190">
        <f t="shared" si="1"/>
        <v>0.74349079754601222</v>
      </c>
      <c r="P12" s="432">
        <f t="shared" si="9"/>
        <v>4181100</v>
      </c>
      <c r="Q12" s="432">
        <f t="shared" si="6"/>
        <v>0</v>
      </c>
      <c r="R12" s="432">
        <f t="shared" si="7"/>
        <v>0</v>
      </c>
    </row>
    <row r="13" spans="1:18" ht="15" x14ac:dyDescent="0.25">
      <c r="A13" s="496" t="s">
        <v>213</v>
      </c>
      <c r="B13" s="182" t="s">
        <v>17</v>
      </c>
      <c r="C13" s="159">
        <v>24000000</v>
      </c>
      <c r="D13" s="184"/>
      <c r="E13" s="457"/>
      <c r="F13" s="458"/>
      <c r="G13" s="459"/>
      <c r="H13" s="185">
        <f t="shared" si="2"/>
        <v>24000000</v>
      </c>
      <c r="I13" s="186">
        <f>FEBRERO!I13+FEBRERO!J13</f>
        <v>0</v>
      </c>
      <c r="J13" s="186">
        <v>0</v>
      </c>
      <c r="K13" s="187">
        <f>L13/H13</f>
        <v>0</v>
      </c>
      <c r="L13" s="188">
        <f t="shared" si="3"/>
        <v>0</v>
      </c>
      <c r="M13" s="321">
        <f t="shared" si="4"/>
        <v>0</v>
      </c>
      <c r="N13" s="189">
        <f t="shared" si="5"/>
        <v>24000000</v>
      </c>
      <c r="O13" s="190">
        <f t="shared" si="1"/>
        <v>1</v>
      </c>
      <c r="P13" s="432">
        <f t="shared" si="9"/>
        <v>0</v>
      </c>
      <c r="Q13" s="432">
        <f t="shared" si="6"/>
        <v>0</v>
      </c>
      <c r="R13" s="432">
        <f t="shared" si="7"/>
        <v>0</v>
      </c>
    </row>
    <row r="14" spans="1:18" ht="15" x14ac:dyDescent="0.25">
      <c r="A14" s="496" t="s">
        <v>214</v>
      </c>
      <c r="B14" s="182" t="s">
        <v>19</v>
      </c>
      <c r="C14" s="159">
        <v>24787000</v>
      </c>
      <c r="D14" s="184"/>
      <c r="E14" s="457"/>
      <c r="F14" s="458"/>
      <c r="G14" s="459"/>
      <c r="H14" s="185">
        <f t="shared" si="2"/>
        <v>24787000</v>
      </c>
      <c r="I14" s="186">
        <f>FEBRERO!I14+FEBRERO!J14</f>
        <v>0</v>
      </c>
      <c r="J14" s="186">
        <v>0</v>
      </c>
      <c r="K14" s="187">
        <f t="shared" si="8"/>
        <v>0</v>
      </c>
      <c r="L14" s="188">
        <f t="shared" si="3"/>
        <v>0</v>
      </c>
      <c r="M14" s="321">
        <f t="shared" si="4"/>
        <v>0</v>
      </c>
      <c r="N14" s="189">
        <f t="shared" si="5"/>
        <v>24787000</v>
      </c>
      <c r="O14" s="190">
        <f t="shared" si="1"/>
        <v>1</v>
      </c>
      <c r="P14" s="432">
        <f t="shared" si="9"/>
        <v>0</v>
      </c>
      <c r="Q14" s="432">
        <f t="shared" si="6"/>
        <v>0</v>
      </c>
      <c r="R14" s="432">
        <f t="shared" si="7"/>
        <v>0</v>
      </c>
    </row>
    <row r="15" spans="1:18" ht="15" x14ac:dyDescent="0.25">
      <c r="A15" s="496" t="s">
        <v>215</v>
      </c>
      <c r="B15" s="182" t="s">
        <v>20</v>
      </c>
      <c r="C15" s="159">
        <v>41330000</v>
      </c>
      <c r="D15" s="184"/>
      <c r="E15" s="457"/>
      <c r="F15" s="458"/>
      <c r="G15" s="459"/>
      <c r="H15" s="185">
        <f t="shared" si="2"/>
        <v>41330000</v>
      </c>
      <c r="I15" s="186">
        <f>FEBRERO!I15+FEBRERO!J15</f>
        <v>0</v>
      </c>
      <c r="J15" s="186">
        <v>0</v>
      </c>
      <c r="K15" s="187">
        <f t="shared" si="8"/>
        <v>0</v>
      </c>
      <c r="L15" s="188">
        <f t="shared" si="3"/>
        <v>0</v>
      </c>
      <c r="M15" s="321">
        <f t="shared" si="4"/>
        <v>0</v>
      </c>
      <c r="N15" s="189">
        <f t="shared" si="5"/>
        <v>41330000</v>
      </c>
      <c r="O15" s="190">
        <f t="shared" si="1"/>
        <v>1</v>
      </c>
      <c r="P15" s="432">
        <f t="shared" si="9"/>
        <v>0</v>
      </c>
      <c r="Q15" s="432">
        <f t="shared" si="6"/>
        <v>0</v>
      </c>
      <c r="R15" s="432">
        <f t="shared" si="7"/>
        <v>0</v>
      </c>
    </row>
    <row r="16" spans="1:18" ht="15" x14ac:dyDescent="0.25">
      <c r="A16" s="496" t="s">
        <v>216</v>
      </c>
      <c r="B16" s="182" t="s">
        <v>21</v>
      </c>
      <c r="C16" s="159">
        <v>55000000</v>
      </c>
      <c r="D16" s="184"/>
      <c r="E16" s="457"/>
      <c r="F16" s="458"/>
      <c r="G16" s="459"/>
      <c r="H16" s="185">
        <f t="shared" si="2"/>
        <v>55000000</v>
      </c>
      <c r="I16" s="186">
        <f>FEBRERO!I16+FEBRERO!J16</f>
        <v>0</v>
      </c>
      <c r="J16" s="186">
        <v>0</v>
      </c>
      <c r="K16" s="187">
        <f t="shared" si="8"/>
        <v>0</v>
      </c>
      <c r="L16" s="188">
        <f t="shared" si="3"/>
        <v>0</v>
      </c>
      <c r="M16" s="321">
        <f t="shared" si="4"/>
        <v>0</v>
      </c>
      <c r="N16" s="189">
        <f t="shared" si="5"/>
        <v>55000000</v>
      </c>
      <c r="O16" s="190">
        <f t="shared" si="1"/>
        <v>1</v>
      </c>
      <c r="P16" s="432">
        <f t="shared" si="9"/>
        <v>0</v>
      </c>
      <c r="Q16" s="432">
        <f t="shared" si="6"/>
        <v>0</v>
      </c>
      <c r="R16" s="432">
        <f t="shared" si="7"/>
        <v>0</v>
      </c>
    </row>
    <row r="17" spans="1:18" s="192" customFormat="1" ht="27.75" customHeight="1" x14ac:dyDescent="0.2">
      <c r="A17" s="497">
        <v>20210102</v>
      </c>
      <c r="B17" s="175" t="s">
        <v>130</v>
      </c>
      <c r="C17" s="176">
        <f t="shared" ref="C17:H17" si="10">SUM(C18:C20)</f>
        <v>77000000</v>
      </c>
      <c r="D17" s="176">
        <f t="shared" si="10"/>
        <v>0</v>
      </c>
      <c r="E17" s="176">
        <f t="shared" si="10"/>
        <v>0</v>
      </c>
      <c r="F17" s="176">
        <f t="shared" si="10"/>
        <v>0</v>
      </c>
      <c r="G17" s="176">
        <f t="shared" si="10"/>
        <v>0</v>
      </c>
      <c r="H17" s="176">
        <f t="shared" si="10"/>
        <v>77000000</v>
      </c>
      <c r="I17" s="176">
        <f>SUM(I18:I20)</f>
        <v>32400000</v>
      </c>
      <c r="J17" s="176">
        <f>SUM(J18:J20)</f>
        <v>28000000</v>
      </c>
      <c r="K17" s="177">
        <f>L17/H17</f>
        <v>0.78441558441558445</v>
      </c>
      <c r="L17" s="191">
        <f>SUM(L18:L20)</f>
        <v>60400000</v>
      </c>
      <c r="M17" s="191">
        <f>SUM(M18:M20)</f>
        <v>60400000</v>
      </c>
      <c r="N17" s="191">
        <f>SUM(N18:N20)</f>
        <v>16600000</v>
      </c>
      <c r="O17" s="179">
        <f t="shared" si="1"/>
        <v>0.21558441558441557</v>
      </c>
      <c r="P17" s="176">
        <f>SUM(P18:P20)</f>
        <v>9500000</v>
      </c>
      <c r="Q17" s="176">
        <f>SUM(Q18:Q20)</f>
        <v>50900000</v>
      </c>
      <c r="R17" s="176">
        <f>SUM(R18:R20)</f>
        <v>0</v>
      </c>
    </row>
    <row r="18" spans="1:18" ht="15" x14ac:dyDescent="0.25">
      <c r="A18" s="496" t="s">
        <v>217</v>
      </c>
      <c r="B18" s="193" t="s">
        <v>25</v>
      </c>
      <c r="C18" s="159">
        <v>60000000</v>
      </c>
      <c r="D18" s="186"/>
      <c r="E18" s="457"/>
      <c r="F18" s="458"/>
      <c r="G18" s="459"/>
      <c r="H18" s="185">
        <f>C18-D18+E18+F18-G18</f>
        <v>60000000</v>
      </c>
      <c r="I18" s="186">
        <f>FEBRERO!I18+FEBRERO!J18</f>
        <v>20200000</v>
      </c>
      <c r="J18" s="186">
        <v>28000000</v>
      </c>
      <c r="K18" s="187">
        <f>L18/H18</f>
        <v>0.80333333333333334</v>
      </c>
      <c r="L18" s="188">
        <f>J18+I18</f>
        <v>48200000</v>
      </c>
      <c r="M18" s="321">
        <f>I18+J18</f>
        <v>48200000</v>
      </c>
      <c r="N18" s="189">
        <f>H18-L18</f>
        <v>11800000</v>
      </c>
      <c r="O18" s="190">
        <f t="shared" si="1"/>
        <v>0.19666666666666666</v>
      </c>
      <c r="P18" s="432">
        <f>3400000</f>
        <v>3400000</v>
      </c>
      <c r="Q18" s="432">
        <f>M18-P18</f>
        <v>44800000</v>
      </c>
      <c r="R18" s="432">
        <f>L18-M18</f>
        <v>0</v>
      </c>
    </row>
    <row r="19" spans="1:18" ht="15" x14ac:dyDescent="0.25">
      <c r="A19" s="496" t="s">
        <v>218</v>
      </c>
      <c r="B19" s="182" t="s">
        <v>27</v>
      </c>
      <c r="C19" s="159">
        <v>17000000</v>
      </c>
      <c r="D19" s="186"/>
      <c r="E19" s="457"/>
      <c r="F19" s="458"/>
      <c r="G19" s="459"/>
      <c r="H19" s="185">
        <f>C19-D19+E19+F19-G19</f>
        <v>17000000</v>
      </c>
      <c r="I19" s="186">
        <f>FEBRERO!I19+FEBRERO!J19</f>
        <v>12200000</v>
      </c>
      <c r="J19" s="186">
        <v>0</v>
      </c>
      <c r="K19" s="187">
        <f>L19/H19</f>
        <v>0.71764705882352942</v>
      </c>
      <c r="L19" s="188">
        <f>J19+I19</f>
        <v>12200000</v>
      </c>
      <c r="M19" s="321">
        <f>I19+J19</f>
        <v>12200000</v>
      </c>
      <c r="N19" s="189">
        <f>H19-L19</f>
        <v>4800000</v>
      </c>
      <c r="O19" s="190">
        <v>0</v>
      </c>
      <c r="P19" s="432">
        <f>6100000</f>
        <v>6100000</v>
      </c>
      <c r="Q19" s="432">
        <f>M19-P19</f>
        <v>6100000</v>
      </c>
      <c r="R19" s="432">
        <f>L19-M19</f>
        <v>0</v>
      </c>
    </row>
    <row r="20" spans="1:18" ht="15" x14ac:dyDescent="0.25">
      <c r="A20" s="181">
        <v>2021010203</v>
      </c>
      <c r="B20" s="194" t="s">
        <v>29</v>
      </c>
      <c r="C20" s="183">
        <f>'PAC INICIAL 2021'!C35</f>
        <v>0</v>
      </c>
      <c r="D20" s="186"/>
      <c r="E20" s="457"/>
      <c r="F20" s="458"/>
      <c r="G20" s="459"/>
      <c r="H20" s="185">
        <f>C20-D20+E20+F20-G20</f>
        <v>0</v>
      </c>
      <c r="I20" s="186">
        <f>FEBRERO!I20+FEBRERO!J20</f>
        <v>0</v>
      </c>
      <c r="J20" s="186">
        <v>0</v>
      </c>
      <c r="K20" s="187">
        <v>0</v>
      </c>
      <c r="L20" s="188">
        <f>J20+I20</f>
        <v>0</v>
      </c>
      <c r="M20" s="321">
        <f>I20+J20</f>
        <v>0</v>
      </c>
      <c r="N20" s="189">
        <f>H20-L20</f>
        <v>0</v>
      </c>
      <c r="O20" s="190">
        <v>0</v>
      </c>
      <c r="P20" s="432">
        <f>L20</f>
        <v>0</v>
      </c>
      <c r="Q20" s="432">
        <f>M20-P20</f>
        <v>0</v>
      </c>
      <c r="R20" s="432">
        <f>L20-M20</f>
        <v>0</v>
      </c>
    </row>
    <row r="21" spans="1:18" ht="30" x14ac:dyDescent="0.2">
      <c r="A21" s="497">
        <v>20210103</v>
      </c>
      <c r="B21" s="200" t="s">
        <v>69</v>
      </c>
      <c r="C21" s="201">
        <f t="shared" ref="C21:I21" si="11">SUM(C22:C25)</f>
        <v>73229741</v>
      </c>
      <c r="D21" s="201">
        <f t="shared" si="11"/>
        <v>0</v>
      </c>
      <c r="E21" s="201">
        <f t="shared" si="11"/>
        <v>0</v>
      </c>
      <c r="F21" s="201">
        <f t="shared" si="11"/>
        <v>0</v>
      </c>
      <c r="G21" s="201">
        <f t="shared" si="11"/>
        <v>0</v>
      </c>
      <c r="H21" s="201">
        <f t="shared" si="11"/>
        <v>73229741</v>
      </c>
      <c r="I21" s="201">
        <f t="shared" si="11"/>
        <v>4459798</v>
      </c>
      <c r="J21" s="201">
        <f>SUM(J22:J25)</f>
        <v>9708309</v>
      </c>
      <c r="K21" s="177">
        <f>L21/H21</f>
        <v>0.19347476594243315</v>
      </c>
      <c r="L21" s="438">
        <f>SUM(L22:L25)</f>
        <v>14168107</v>
      </c>
      <c r="M21" s="438">
        <f>SUM(M22:M25)</f>
        <v>14168107</v>
      </c>
      <c r="N21" s="438">
        <f>SUM(N22:N25)</f>
        <v>59061634</v>
      </c>
      <c r="O21" s="179">
        <f t="shared" ref="O21:O27" si="12">N21/H21</f>
        <v>0.80652523405756682</v>
      </c>
      <c r="P21" s="176">
        <f>SUM(P22:P25)</f>
        <v>14168107</v>
      </c>
      <c r="Q21" s="176">
        <f>SUM(Q22:Q25)</f>
        <v>0</v>
      </c>
      <c r="R21" s="176">
        <f>SUM(R22:R25)</f>
        <v>0</v>
      </c>
    </row>
    <row r="22" spans="1:18" ht="15" x14ac:dyDescent="0.25">
      <c r="A22" s="496" t="s">
        <v>220</v>
      </c>
      <c r="B22" s="194" t="s">
        <v>71</v>
      </c>
      <c r="C22" s="159">
        <v>6000083</v>
      </c>
      <c r="D22" s="184"/>
      <c r="E22" s="457"/>
      <c r="F22" s="458"/>
      <c r="G22" s="459"/>
      <c r="H22" s="185">
        <f>C22-D22+E22+F22-G22</f>
        <v>6000083</v>
      </c>
      <c r="I22" s="186">
        <f>FEBRERO!I22+FEBRERO!J22</f>
        <v>0</v>
      </c>
      <c r="J22" s="186">
        <v>0</v>
      </c>
      <c r="K22" s="187">
        <f t="shared" ref="K22:K27" si="13">L22/H22</f>
        <v>0</v>
      </c>
      <c r="L22" s="188">
        <f>J22+I22</f>
        <v>0</v>
      </c>
      <c r="M22" s="321">
        <f>I22+J22</f>
        <v>0</v>
      </c>
      <c r="N22" s="189">
        <f>H22-L22</f>
        <v>6000083</v>
      </c>
      <c r="O22" s="190">
        <f t="shared" si="12"/>
        <v>1</v>
      </c>
      <c r="P22" s="432">
        <f>M22</f>
        <v>0</v>
      </c>
      <c r="Q22" s="432">
        <f>M22-P22</f>
        <v>0</v>
      </c>
      <c r="R22" s="432">
        <f>L22-M22</f>
        <v>0</v>
      </c>
    </row>
    <row r="23" spans="1:18" ht="15" x14ac:dyDescent="0.25">
      <c r="A23" s="496" t="s">
        <v>219</v>
      </c>
      <c r="B23" s="194" t="s">
        <v>73</v>
      </c>
      <c r="C23" s="159">
        <v>46429658</v>
      </c>
      <c r="D23" s="184"/>
      <c r="E23" s="457"/>
      <c r="F23" s="458"/>
      <c r="G23" s="459"/>
      <c r="H23" s="185">
        <f>C23-D23+E23+F23-G23</f>
        <v>46429658</v>
      </c>
      <c r="I23" s="186">
        <f>FEBRERO!I23+FEBRERO!J23</f>
        <v>3739179</v>
      </c>
      <c r="J23" s="186">
        <f>3741710+4592353</f>
        <v>8334063</v>
      </c>
      <c r="K23" s="187">
        <f t="shared" si="13"/>
        <v>0.26003297288987137</v>
      </c>
      <c r="L23" s="188">
        <f>J23+I23</f>
        <v>12073242</v>
      </c>
      <c r="M23" s="321">
        <f>I23+J23</f>
        <v>12073242</v>
      </c>
      <c r="N23" s="189">
        <f>H23-L23</f>
        <v>34356416</v>
      </c>
      <c r="O23" s="190">
        <f t="shared" si="12"/>
        <v>0.73996702711012863</v>
      </c>
      <c r="P23" s="432">
        <f>L23</f>
        <v>12073242</v>
      </c>
      <c r="Q23" s="432">
        <f>M23-P23</f>
        <v>0</v>
      </c>
      <c r="R23" s="432">
        <f>L23-M23</f>
        <v>0</v>
      </c>
    </row>
    <row r="24" spans="1:18" ht="15" x14ac:dyDescent="0.25">
      <c r="A24" s="496" t="s">
        <v>221</v>
      </c>
      <c r="B24" s="194" t="s">
        <v>74</v>
      </c>
      <c r="C24" s="159">
        <v>14000000</v>
      </c>
      <c r="D24" s="184"/>
      <c r="E24" s="457"/>
      <c r="F24" s="458"/>
      <c r="G24" s="459"/>
      <c r="H24" s="185">
        <f>C24-D24+E24+F24-G24</f>
        <v>14000000</v>
      </c>
      <c r="I24" s="186">
        <f>FEBRERO!I24+FEBRERO!J24</f>
        <v>720619</v>
      </c>
      <c r="J24" s="186">
        <f>720719+653527</f>
        <v>1374246</v>
      </c>
      <c r="K24" s="187">
        <f t="shared" si="13"/>
        <v>0.14963321428571427</v>
      </c>
      <c r="L24" s="188">
        <f>J24+I24</f>
        <v>2094865</v>
      </c>
      <c r="M24" s="321">
        <f>I24+J24</f>
        <v>2094865</v>
      </c>
      <c r="N24" s="189">
        <f>H24-L24</f>
        <v>11905135</v>
      </c>
      <c r="O24" s="190">
        <f t="shared" si="12"/>
        <v>0.8503667857142857</v>
      </c>
      <c r="P24" s="432">
        <f>L24</f>
        <v>2094865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222</v>
      </c>
      <c r="B25" s="194" t="s">
        <v>75</v>
      </c>
      <c r="C25" s="159">
        <v>6800000</v>
      </c>
      <c r="D25" s="202"/>
      <c r="E25" s="457"/>
      <c r="F25" s="458"/>
      <c r="G25" s="459"/>
      <c r="H25" s="185">
        <f>C25-D25+E25+F25-G25</f>
        <v>6800000</v>
      </c>
      <c r="I25" s="186">
        <f>FEBRERO!I25+FEBRERO!J25</f>
        <v>0</v>
      </c>
      <c r="J25" s="186">
        <v>0</v>
      </c>
      <c r="K25" s="187">
        <f t="shared" si="13"/>
        <v>0</v>
      </c>
      <c r="L25" s="188">
        <f>J25+I25</f>
        <v>0</v>
      </c>
      <c r="M25" s="321">
        <f>I25+J25</f>
        <v>0</v>
      </c>
      <c r="N25" s="189">
        <f>H25-L25</f>
        <v>6800000</v>
      </c>
      <c r="O25" s="190">
        <f t="shared" si="12"/>
        <v>1</v>
      </c>
      <c r="P25" s="432">
        <f>L25-J25</f>
        <v>0</v>
      </c>
      <c r="Q25" s="432">
        <f>M25-P25</f>
        <v>0</v>
      </c>
      <c r="R25" s="432">
        <f>L25-M25</f>
        <v>0</v>
      </c>
    </row>
    <row r="26" spans="1:18" ht="15.75" x14ac:dyDescent="0.2">
      <c r="A26" s="497">
        <v>20210104</v>
      </c>
      <c r="B26" s="203" t="s">
        <v>76</v>
      </c>
      <c r="C26" s="201">
        <f t="shared" ref="C26:J26" si="14">SUM(C27:C36)</f>
        <v>133100000</v>
      </c>
      <c r="D26" s="201">
        <f t="shared" si="14"/>
        <v>0</v>
      </c>
      <c r="E26" s="201">
        <f t="shared" si="14"/>
        <v>0</v>
      </c>
      <c r="F26" s="201">
        <f t="shared" si="14"/>
        <v>3000000</v>
      </c>
      <c r="G26" s="201">
        <f t="shared" si="14"/>
        <v>0</v>
      </c>
      <c r="H26" s="201">
        <f t="shared" si="14"/>
        <v>136100000</v>
      </c>
      <c r="I26" s="176">
        <f t="shared" si="14"/>
        <v>21409571</v>
      </c>
      <c r="J26" s="176">
        <f t="shared" si="14"/>
        <v>19381621</v>
      </c>
      <c r="K26" s="177">
        <f t="shared" si="13"/>
        <v>0.2997148567229978</v>
      </c>
      <c r="L26" s="178">
        <f>SUM(L27:L36)</f>
        <v>40791192</v>
      </c>
      <c r="M26" s="191">
        <f>SUM(M27:M36)</f>
        <v>40791192</v>
      </c>
      <c r="N26" s="191">
        <f>SUM(N27:N36)</f>
        <v>95308808</v>
      </c>
      <c r="O26" s="179">
        <f t="shared" si="12"/>
        <v>0.7002851432770022</v>
      </c>
      <c r="P26" s="176">
        <f>SUM(P27:P36)</f>
        <v>40791192</v>
      </c>
      <c r="Q26" s="176">
        <f>SUM(Q27:Q36)</f>
        <v>0</v>
      </c>
      <c r="R26" s="176">
        <f>SUM(R27:R42)</f>
        <v>0</v>
      </c>
    </row>
    <row r="27" spans="1:18" ht="15" x14ac:dyDescent="0.25">
      <c r="A27" s="496" t="s">
        <v>223</v>
      </c>
      <c r="B27" s="194" t="s">
        <v>78</v>
      </c>
      <c r="C27" s="159">
        <v>12000000</v>
      </c>
      <c r="D27" s="184"/>
      <c r="E27" s="457"/>
      <c r="F27" s="458">
        <v>3000000</v>
      </c>
      <c r="G27" s="459"/>
      <c r="H27" s="185">
        <f t="shared" ref="H27:H36" si="15">C27-D27+E27+F27-G27</f>
        <v>15000000</v>
      </c>
      <c r="I27" s="186">
        <f>FEBRERO!I27+FEBRERO!J27</f>
        <v>12343990</v>
      </c>
      <c r="J27" s="186">
        <v>0</v>
      </c>
      <c r="K27" s="187">
        <f t="shared" si="13"/>
        <v>0.82293266666666665</v>
      </c>
      <c r="L27" s="188">
        <f t="shared" ref="L27:L36" si="16">J27+I27</f>
        <v>12343990</v>
      </c>
      <c r="M27" s="321">
        <f t="shared" ref="M27:M36" si="17">I27+J27</f>
        <v>12343990</v>
      </c>
      <c r="N27" s="189">
        <f t="shared" ref="N27:N36" si="18">H27-L27</f>
        <v>2656010</v>
      </c>
      <c r="O27" s="190">
        <f t="shared" si="12"/>
        <v>0.17706733333333333</v>
      </c>
      <c r="P27" s="188">
        <f>L27-J27</f>
        <v>12343990</v>
      </c>
      <c r="Q27" s="432">
        <f t="shared" ref="Q27:Q36" si="19">M27-P27</f>
        <v>0</v>
      </c>
      <c r="R27" s="432">
        <f t="shared" ref="R27:R42" si="20">L27-M27</f>
        <v>0</v>
      </c>
    </row>
    <row r="28" spans="1:18" ht="15" x14ac:dyDescent="0.25">
      <c r="A28" s="181">
        <v>2021010402</v>
      </c>
      <c r="B28" s="194" t="s">
        <v>73</v>
      </c>
      <c r="C28" s="159">
        <v>0</v>
      </c>
      <c r="D28" s="184"/>
      <c r="E28" s="457"/>
      <c r="F28" s="458"/>
      <c r="G28" s="459"/>
      <c r="H28" s="185">
        <f t="shared" si="15"/>
        <v>0</v>
      </c>
      <c r="I28" s="186">
        <f>FEBRERO!I28+FEBRERO!J28</f>
        <v>0</v>
      </c>
      <c r="J28" s="186">
        <v>0</v>
      </c>
      <c r="K28" s="187">
        <v>0</v>
      </c>
      <c r="L28" s="196">
        <f t="shared" si="16"/>
        <v>0</v>
      </c>
      <c r="M28" s="321">
        <f t="shared" si="17"/>
        <v>0</v>
      </c>
      <c r="N28" s="189">
        <f t="shared" si="18"/>
        <v>0</v>
      </c>
      <c r="O28" s="190">
        <v>0</v>
      </c>
      <c r="P28" s="188">
        <f t="shared" ref="P28:P36" si="21">L28</f>
        <v>0</v>
      </c>
      <c r="Q28" s="432">
        <f t="shared" si="19"/>
        <v>0</v>
      </c>
      <c r="R28" s="432">
        <f t="shared" si="20"/>
        <v>0</v>
      </c>
    </row>
    <row r="29" spans="1:18" ht="15" x14ac:dyDescent="0.25">
      <c r="A29" s="496" t="s">
        <v>224</v>
      </c>
      <c r="B29" s="194" t="s">
        <v>81</v>
      </c>
      <c r="C29" s="159">
        <v>3900000</v>
      </c>
      <c r="D29" s="184"/>
      <c r="E29" s="457"/>
      <c r="F29" s="458"/>
      <c r="G29" s="459"/>
      <c r="H29" s="185">
        <f t="shared" si="15"/>
        <v>3900000</v>
      </c>
      <c r="I29" s="186">
        <f>FEBRERO!I29+FEBRERO!J29</f>
        <v>211900</v>
      </c>
      <c r="J29" s="186">
        <f>216100+259700</f>
        <v>475800</v>
      </c>
      <c r="K29" s="187">
        <f t="shared" ref="K29:K35" si="22">L29/H29</f>
        <v>0.17633333333333334</v>
      </c>
      <c r="L29" s="188">
        <f t="shared" si="16"/>
        <v>687700</v>
      </c>
      <c r="M29" s="321">
        <f t="shared" si="17"/>
        <v>687700</v>
      </c>
      <c r="N29" s="189">
        <f t="shared" si="18"/>
        <v>3212300</v>
      </c>
      <c r="O29" s="190">
        <f t="shared" ref="O29:O35" si="23">N29/H29</f>
        <v>0.82366666666666666</v>
      </c>
      <c r="P29" s="188">
        <f t="shared" si="21"/>
        <v>687700</v>
      </c>
      <c r="Q29" s="432">
        <f t="shared" si="19"/>
        <v>0</v>
      </c>
      <c r="R29" s="432">
        <f t="shared" si="20"/>
        <v>0</v>
      </c>
    </row>
    <row r="30" spans="1:18" ht="15" x14ac:dyDescent="0.25">
      <c r="A30" s="496" t="s">
        <v>225</v>
      </c>
      <c r="B30" s="194" t="s">
        <v>74</v>
      </c>
      <c r="C30" s="159">
        <v>52000000</v>
      </c>
      <c r="D30" s="184"/>
      <c r="E30" s="457"/>
      <c r="F30" s="458"/>
      <c r="G30" s="459"/>
      <c r="H30" s="185">
        <f t="shared" si="15"/>
        <v>52000000</v>
      </c>
      <c r="I30" s="186">
        <f>FEBRERO!I30+FEBRERO!J30</f>
        <v>4521481</v>
      </c>
      <c r="J30" s="186">
        <f>4559032+5844589</f>
        <v>10403621</v>
      </c>
      <c r="K30" s="187">
        <f t="shared" si="22"/>
        <v>0.2870211923076923</v>
      </c>
      <c r="L30" s="188">
        <f t="shared" si="16"/>
        <v>14925102</v>
      </c>
      <c r="M30" s="321">
        <f t="shared" si="17"/>
        <v>14925102</v>
      </c>
      <c r="N30" s="189">
        <f t="shared" si="18"/>
        <v>37074898</v>
      </c>
      <c r="O30" s="190">
        <f t="shared" si="23"/>
        <v>0.7129788076923077</v>
      </c>
      <c r="P30" s="188">
        <f t="shared" si="21"/>
        <v>14925102</v>
      </c>
      <c r="Q30" s="432">
        <f t="shared" si="19"/>
        <v>0</v>
      </c>
      <c r="R30" s="432">
        <f t="shared" si="20"/>
        <v>0</v>
      </c>
    </row>
    <row r="31" spans="1:18" ht="15" x14ac:dyDescent="0.25">
      <c r="A31" s="496" t="s">
        <v>226</v>
      </c>
      <c r="B31" s="194" t="s">
        <v>84</v>
      </c>
      <c r="C31" s="159">
        <v>27000000</v>
      </c>
      <c r="D31" s="184"/>
      <c r="E31" s="457"/>
      <c r="F31" s="458"/>
      <c r="G31" s="459"/>
      <c r="H31" s="185">
        <f t="shared" si="15"/>
        <v>27000000</v>
      </c>
      <c r="I31" s="186">
        <f>FEBRERO!I31+FEBRERO!J31</f>
        <v>1924900</v>
      </c>
      <c r="J31" s="186">
        <f>1757800+2019900</f>
        <v>3777700</v>
      </c>
      <c r="K31" s="187">
        <f t="shared" si="22"/>
        <v>0.2112074074074074</v>
      </c>
      <c r="L31" s="188">
        <f t="shared" si="16"/>
        <v>5702600</v>
      </c>
      <c r="M31" s="321">
        <f t="shared" si="17"/>
        <v>5702600</v>
      </c>
      <c r="N31" s="189">
        <f t="shared" si="18"/>
        <v>21297400</v>
      </c>
      <c r="O31" s="190">
        <f t="shared" si="23"/>
        <v>0.7887925925925926</v>
      </c>
      <c r="P31" s="188">
        <f t="shared" si="21"/>
        <v>5702600</v>
      </c>
      <c r="Q31" s="432">
        <f t="shared" si="19"/>
        <v>0</v>
      </c>
      <c r="R31" s="432">
        <f t="shared" si="20"/>
        <v>0</v>
      </c>
    </row>
    <row r="32" spans="1:18" ht="15" x14ac:dyDescent="0.25">
      <c r="A32" s="496" t="s">
        <v>227</v>
      </c>
      <c r="B32" s="194" t="s">
        <v>86</v>
      </c>
      <c r="C32" s="159">
        <v>23000000</v>
      </c>
      <c r="D32" s="184"/>
      <c r="E32" s="457"/>
      <c r="F32" s="458"/>
      <c r="G32" s="459"/>
      <c r="H32" s="185">
        <f t="shared" si="15"/>
        <v>23000000</v>
      </c>
      <c r="I32" s="186">
        <f>FEBRERO!I32+FEBRERO!J32</f>
        <v>1443700</v>
      </c>
      <c r="J32" s="186">
        <f>1318200+1514900</f>
        <v>2833100</v>
      </c>
      <c r="K32" s="187">
        <f t="shared" si="22"/>
        <v>0.18594782608695651</v>
      </c>
      <c r="L32" s="188">
        <f t="shared" si="16"/>
        <v>4276800</v>
      </c>
      <c r="M32" s="321">
        <f t="shared" si="17"/>
        <v>4276800</v>
      </c>
      <c r="N32" s="189">
        <f t="shared" si="18"/>
        <v>18723200</v>
      </c>
      <c r="O32" s="190">
        <f t="shared" si="23"/>
        <v>0.81405217391304352</v>
      </c>
      <c r="P32" s="188">
        <f t="shared" si="21"/>
        <v>4276800</v>
      </c>
      <c r="Q32" s="432">
        <f t="shared" si="19"/>
        <v>0</v>
      </c>
      <c r="R32" s="432">
        <f t="shared" si="20"/>
        <v>0</v>
      </c>
    </row>
    <row r="33" spans="1:18" ht="15" x14ac:dyDescent="0.25">
      <c r="A33" s="496" t="s">
        <v>228</v>
      </c>
      <c r="B33" s="194" t="s">
        <v>88</v>
      </c>
      <c r="C33" s="159">
        <v>4000000</v>
      </c>
      <c r="D33" s="184"/>
      <c r="E33" s="457"/>
      <c r="F33" s="458"/>
      <c r="G33" s="459"/>
      <c r="H33" s="185">
        <f t="shared" si="15"/>
        <v>4000000</v>
      </c>
      <c r="I33" s="186">
        <f>FEBRERO!I33+FEBRERO!J33</f>
        <v>241000</v>
      </c>
      <c r="J33" s="186">
        <f>220100+253000</f>
        <v>473100</v>
      </c>
      <c r="K33" s="187">
        <f t="shared" si="22"/>
        <v>0.17852499999999999</v>
      </c>
      <c r="L33" s="188">
        <f t="shared" si="16"/>
        <v>714100</v>
      </c>
      <c r="M33" s="321">
        <f t="shared" si="17"/>
        <v>714100</v>
      </c>
      <c r="N33" s="189">
        <f t="shared" si="18"/>
        <v>3285900</v>
      </c>
      <c r="O33" s="190">
        <f t="shared" si="23"/>
        <v>0.82147499999999996</v>
      </c>
      <c r="P33" s="188">
        <f t="shared" si="21"/>
        <v>714100</v>
      </c>
      <c r="Q33" s="432">
        <f t="shared" si="19"/>
        <v>0</v>
      </c>
      <c r="R33" s="432">
        <f t="shared" si="20"/>
        <v>0</v>
      </c>
    </row>
    <row r="34" spans="1:18" ht="15" x14ac:dyDescent="0.25">
      <c r="A34" s="496" t="s">
        <v>229</v>
      </c>
      <c r="B34" s="194" t="s">
        <v>90</v>
      </c>
      <c r="C34" s="159">
        <v>4000000</v>
      </c>
      <c r="D34" s="184"/>
      <c r="E34" s="457"/>
      <c r="F34" s="458"/>
      <c r="G34" s="459"/>
      <c r="H34" s="185">
        <f t="shared" si="15"/>
        <v>4000000</v>
      </c>
      <c r="I34" s="186">
        <f>FEBRERO!I34+FEBRERO!J34</f>
        <v>241000</v>
      </c>
      <c r="J34" s="186">
        <f>220100+253000</f>
        <v>473100</v>
      </c>
      <c r="K34" s="187">
        <f t="shared" si="22"/>
        <v>0.17852499999999999</v>
      </c>
      <c r="L34" s="188">
        <f t="shared" si="16"/>
        <v>714100</v>
      </c>
      <c r="M34" s="321">
        <f t="shared" si="17"/>
        <v>714100</v>
      </c>
      <c r="N34" s="189">
        <f t="shared" si="18"/>
        <v>3285900</v>
      </c>
      <c r="O34" s="190">
        <f t="shared" si="23"/>
        <v>0.82147499999999996</v>
      </c>
      <c r="P34" s="188">
        <f t="shared" si="21"/>
        <v>714100</v>
      </c>
      <c r="Q34" s="432">
        <f t="shared" si="19"/>
        <v>0</v>
      </c>
      <c r="R34" s="432">
        <f t="shared" si="20"/>
        <v>0</v>
      </c>
    </row>
    <row r="35" spans="1:18" ht="15" x14ac:dyDescent="0.25">
      <c r="A35" s="496" t="s">
        <v>230</v>
      </c>
      <c r="B35" s="194" t="s">
        <v>92</v>
      </c>
      <c r="C35" s="159">
        <v>7200000</v>
      </c>
      <c r="D35" s="184"/>
      <c r="E35" s="457"/>
      <c r="F35" s="458"/>
      <c r="G35" s="459"/>
      <c r="H35" s="185">
        <f t="shared" si="15"/>
        <v>7200000</v>
      </c>
      <c r="I35" s="186">
        <f>FEBRERO!I35+FEBRERO!J35</f>
        <v>481600</v>
      </c>
      <c r="J35" s="186">
        <f>439800+505400</f>
        <v>945200</v>
      </c>
      <c r="K35" s="187">
        <f t="shared" si="22"/>
        <v>0.19816666666666666</v>
      </c>
      <c r="L35" s="188">
        <f t="shared" si="16"/>
        <v>1426800</v>
      </c>
      <c r="M35" s="321">
        <f t="shared" si="17"/>
        <v>1426800</v>
      </c>
      <c r="N35" s="189">
        <f t="shared" si="18"/>
        <v>5773200</v>
      </c>
      <c r="O35" s="190">
        <f t="shared" si="23"/>
        <v>0.80183333333333329</v>
      </c>
      <c r="P35" s="188">
        <f t="shared" si="21"/>
        <v>1426800</v>
      </c>
      <c r="Q35" s="432">
        <f t="shared" si="19"/>
        <v>0</v>
      </c>
      <c r="R35" s="432">
        <f t="shared" si="20"/>
        <v>0</v>
      </c>
    </row>
    <row r="36" spans="1:18" ht="15" x14ac:dyDescent="0.25">
      <c r="A36" s="181">
        <v>2021010410</v>
      </c>
      <c r="B36" s="194" t="s">
        <v>94</v>
      </c>
      <c r="C36" s="159">
        <v>0</v>
      </c>
      <c r="D36" s="186"/>
      <c r="E36" s="457"/>
      <c r="F36" s="458"/>
      <c r="G36" s="459"/>
      <c r="H36" s="185">
        <f t="shared" si="15"/>
        <v>0</v>
      </c>
      <c r="I36" s="186">
        <f>FEBRERO!I36+FEBRERO!J36</f>
        <v>0</v>
      </c>
      <c r="J36" s="186">
        <v>0</v>
      </c>
      <c r="K36" s="187">
        <v>0</v>
      </c>
      <c r="L36" s="196">
        <f t="shared" si="16"/>
        <v>0</v>
      </c>
      <c r="M36" s="321">
        <f t="shared" si="17"/>
        <v>0</v>
      </c>
      <c r="N36" s="189">
        <f t="shared" si="18"/>
        <v>0</v>
      </c>
      <c r="O36" s="190">
        <v>0</v>
      </c>
      <c r="P36" s="188">
        <f t="shared" si="21"/>
        <v>0</v>
      </c>
      <c r="Q36" s="432">
        <f t="shared" si="19"/>
        <v>0</v>
      </c>
      <c r="R36" s="432">
        <f t="shared" si="20"/>
        <v>0</v>
      </c>
    </row>
    <row r="37" spans="1:18" s="192" customFormat="1" ht="27.75" customHeight="1" x14ac:dyDescent="0.2">
      <c r="A37" s="498">
        <v>20210201</v>
      </c>
      <c r="B37" s="195" t="s">
        <v>31</v>
      </c>
      <c r="C37" s="176">
        <f t="shared" ref="C37:J37" si="24">SUM(C38:C41)</f>
        <v>27300000</v>
      </c>
      <c r="D37" s="176">
        <f t="shared" si="24"/>
        <v>0</v>
      </c>
      <c r="E37" s="176">
        <f t="shared" si="24"/>
        <v>0</v>
      </c>
      <c r="F37" s="176">
        <f t="shared" si="24"/>
        <v>10000000</v>
      </c>
      <c r="G37" s="176">
        <f t="shared" si="24"/>
        <v>0</v>
      </c>
      <c r="H37" s="176">
        <f t="shared" si="24"/>
        <v>37300000</v>
      </c>
      <c r="I37" s="176">
        <f t="shared" si="24"/>
        <v>19291039</v>
      </c>
      <c r="J37" s="176">
        <f t="shared" si="24"/>
        <v>1295961</v>
      </c>
      <c r="K37" s="177">
        <f>L37/H37</f>
        <v>0.55193029490616619</v>
      </c>
      <c r="L37" s="191">
        <f>SUM(L38:L41)</f>
        <v>20587000</v>
      </c>
      <c r="M37" s="191">
        <f>SUM(M38:M41)</f>
        <v>20587000</v>
      </c>
      <c r="N37" s="176">
        <f>SUM(N38:N41)</f>
        <v>16713000</v>
      </c>
      <c r="O37" s="179">
        <f>N37/H37</f>
        <v>0.44806970509383376</v>
      </c>
      <c r="P37" s="176">
        <f>SUM(P38:P41)</f>
        <v>20587000</v>
      </c>
      <c r="Q37" s="176">
        <f>SUM(Q38:Q41)</f>
        <v>0</v>
      </c>
      <c r="R37" s="176">
        <f t="shared" si="20"/>
        <v>0</v>
      </c>
    </row>
    <row r="38" spans="1:18" ht="15" x14ac:dyDescent="0.25">
      <c r="A38" s="496" t="s">
        <v>231</v>
      </c>
      <c r="B38" s="194" t="s">
        <v>33</v>
      </c>
      <c r="C38" s="159">
        <v>6000000</v>
      </c>
      <c r="D38" s="186"/>
      <c r="E38" s="457"/>
      <c r="F38" s="458"/>
      <c r="G38" s="459"/>
      <c r="H38" s="185">
        <f>C38-D38+E38+F38-G38</f>
        <v>6000000</v>
      </c>
      <c r="I38" s="186">
        <f>FEBRERO!I38+FEBRERO!J38</f>
        <v>0</v>
      </c>
      <c r="J38" s="186">
        <v>0</v>
      </c>
      <c r="K38" s="187">
        <v>0</v>
      </c>
      <c r="L38" s="188">
        <f>J38+I38</f>
        <v>0</v>
      </c>
      <c r="M38" s="321">
        <f>I38+J38</f>
        <v>0</v>
      </c>
      <c r="N38" s="189">
        <f>H38-L38</f>
        <v>6000000</v>
      </c>
      <c r="O38" s="190">
        <v>0</v>
      </c>
      <c r="P38" s="432">
        <f>M38</f>
        <v>0</v>
      </c>
      <c r="Q38" s="432">
        <f>M38-P38</f>
        <v>0</v>
      </c>
      <c r="R38" s="432">
        <f t="shared" si="20"/>
        <v>0</v>
      </c>
    </row>
    <row r="39" spans="1:18" ht="15" x14ac:dyDescent="0.25">
      <c r="A39" s="496">
        <v>2021020102</v>
      </c>
      <c r="B39" s="197" t="s">
        <v>35</v>
      </c>
      <c r="C39" s="159">
        <v>20000000</v>
      </c>
      <c r="D39" s="186"/>
      <c r="E39" s="457"/>
      <c r="F39" s="458">
        <v>10000000</v>
      </c>
      <c r="G39" s="459"/>
      <c r="H39" s="185">
        <f>C39-D39+E39+F39-G39</f>
        <v>30000000</v>
      </c>
      <c r="I39" s="186">
        <f>FEBRERO!I39+FEBRERO!J39</f>
        <v>19291039</v>
      </c>
      <c r="J39" s="186">
        <v>1295961</v>
      </c>
      <c r="K39" s="187">
        <f>L39/H39</f>
        <v>0.68623333333333336</v>
      </c>
      <c r="L39" s="188">
        <f>J39+I39</f>
        <v>20587000</v>
      </c>
      <c r="M39" s="321">
        <f>I39+J39</f>
        <v>20587000</v>
      </c>
      <c r="N39" s="189">
        <f>H39-L39</f>
        <v>9413000</v>
      </c>
      <c r="O39" s="198">
        <f>N39/H39</f>
        <v>0.31376666666666669</v>
      </c>
      <c r="P39" s="432">
        <f>M39</f>
        <v>20587000</v>
      </c>
      <c r="Q39" s="432">
        <f>M39-P39</f>
        <v>0</v>
      </c>
      <c r="R39" s="432">
        <f t="shared" si="20"/>
        <v>0</v>
      </c>
    </row>
    <row r="40" spans="1:18" ht="15" x14ac:dyDescent="0.25">
      <c r="A40" s="496" t="s">
        <v>233</v>
      </c>
      <c r="B40" s="194" t="s">
        <v>37</v>
      </c>
      <c r="C40" s="159">
        <v>1300000</v>
      </c>
      <c r="D40" s="186"/>
      <c r="E40" s="457"/>
      <c r="F40" s="458"/>
      <c r="G40" s="459"/>
      <c r="H40" s="185">
        <f>C40-D40+E40+F40-G40</f>
        <v>1300000</v>
      </c>
      <c r="I40" s="186">
        <f>FEBRERO!I40+FEBRERO!J40</f>
        <v>0</v>
      </c>
      <c r="J40" s="186">
        <v>0</v>
      </c>
      <c r="K40" s="187">
        <f>L40/H40</f>
        <v>0</v>
      </c>
      <c r="L40" s="188">
        <f>J40+I40</f>
        <v>0</v>
      </c>
      <c r="M40" s="321">
        <f>I40+J40</f>
        <v>0</v>
      </c>
      <c r="N40" s="189">
        <f>H40-L40</f>
        <v>1300000</v>
      </c>
      <c r="O40" s="198">
        <f>N40/H40</f>
        <v>1</v>
      </c>
      <c r="P40" s="188">
        <f>L40</f>
        <v>0</v>
      </c>
      <c r="Q40" s="432">
        <f>M40-P40</f>
        <v>0</v>
      </c>
      <c r="R40" s="432">
        <f t="shared" si="20"/>
        <v>0</v>
      </c>
    </row>
    <row r="41" spans="1:18" ht="15" x14ac:dyDescent="0.25">
      <c r="A41" s="181">
        <v>202120105</v>
      </c>
      <c r="B41" s="194" t="s">
        <v>39</v>
      </c>
      <c r="C41" s="159">
        <v>0</v>
      </c>
      <c r="D41" s="186"/>
      <c r="E41" s="457"/>
      <c r="F41" s="458"/>
      <c r="G41" s="459"/>
      <c r="H41" s="185">
        <f>C41-D41+E41+F41-G41</f>
        <v>0</v>
      </c>
      <c r="I41" s="186">
        <f>FEBRERO!I41+FEBRERO!J41</f>
        <v>0</v>
      </c>
      <c r="J41" s="186">
        <v>0</v>
      </c>
      <c r="K41" s="187">
        <v>0</v>
      </c>
      <c r="L41" s="196">
        <f>J41+I41</f>
        <v>0</v>
      </c>
      <c r="M41" s="321">
        <f>I41+J41</f>
        <v>0</v>
      </c>
      <c r="N41" s="189">
        <f>H41-L41</f>
        <v>0</v>
      </c>
      <c r="O41" s="198">
        <v>0</v>
      </c>
      <c r="P41" s="188">
        <f>L41</f>
        <v>0</v>
      </c>
      <c r="Q41" s="432">
        <f>M41-P41</f>
        <v>0</v>
      </c>
      <c r="R41" s="432">
        <f t="shared" si="20"/>
        <v>0</v>
      </c>
    </row>
    <row r="42" spans="1:18" s="192" customFormat="1" ht="27.75" customHeight="1" x14ac:dyDescent="0.2">
      <c r="A42" s="498" t="s">
        <v>235</v>
      </c>
      <c r="B42" s="195" t="s">
        <v>41</v>
      </c>
      <c r="C42" s="176">
        <f t="shared" ref="C42:I42" si="25">SUM(C43:C58)</f>
        <v>158227607</v>
      </c>
      <c r="D42" s="176">
        <f t="shared" si="25"/>
        <v>0</v>
      </c>
      <c r="E42" s="176">
        <f t="shared" si="25"/>
        <v>0</v>
      </c>
      <c r="F42" s="176">
        <f t="shared" si="25"/>
        <v>0</v>
      </c>
      <c r="G42" s="176">
        <f t="shared" si="25"/>
        <v>0</v>
      </c>
      <c r="H42" s="176">
        <f t="shared" si="25"/>
        <v>158227607</v>
      </c>
      <c r="I42" s="176">
        <f t="shared" si="25"/>
        <v>28155350</v>
      </c>
      <c r="J42" s="176">
        <f>SUM(J43:J58)</f>
        <v>9358155</v>
      </c>
      <c r="K42" s="177">
        <f>L42/H42</f>
        <v>0.23708571286172583</v>
      </c>
      <c r="L42" s="178">
        <f>SUM(L43:L58)</f>
        <v>37513505</v>
      </c>
      <c r="M42" s="178">
        <f>SUM(M43:M58)</f>
        <v>37513505</v>
      </c>
      <c r="N42" s="191">
        <f>SUM(N43:N58)</f>
        <v>120714102</v>
      </c>
      <c r="O42" s="179">
        <f t="shared" ref="O42:O47" si="26">N42/H42</f>
        <v>0.76291428713827414</v>
      </c>
      <c r="P42" s="191">
        <f>SUM(P43:P58)</f>
        <v>37513505</v>
      </c>
      <c r="Q42" s="191">
        <f>SUM(Q43:Q58)</f>
        <v>0</v>
      </c>
      <c r="R42" s="191">
        <f t="shared" si="20"/>
        <v>0</v>
      </c>
    </row>
    <row r="43" spans="1:18" ht="15.75" x14ac:dyDescent="0.25">
      <c r="A43" s="496">
        <v>2021020201</v>
      </c>
      <c r="B43" s="194" t="s">
        <v>43</v>
      </c>
      <c r="C43" s="159">
        <v>9400000</v>
      </c>
      <c r="D43" s="186"/>
      <c r="E43" s="457"/>
      <c r="F43" s="458"/>
      <c r="G43" s="459"/>
      <c r="H43" s="185">
        <f t="shared" ref="H43:H58" si="27">C43-D43+E43+F43-G43</f>
        <v>9400000</v>
      </c>
      <c r="I43" s="186">
        <f>FEBRERO!I43+FEBRERO!J43</f>
        <v>1400000</v>
      </c>
      <c r="J43" s="209">
        <v>1400000</v>
      </c>
      <c r="K43" s="187">
        <f t="shared" ref="K43:K49" si="28">L43/H43</f>
        <v>0.2978723404255319</v>
      </c>
      <c r="L43" s="188">
        <f>J43+I43</f>
        <v>2800000</v>
      </c>
      <c r="M43" s="434">
        <f>I43+J43</f>
        <v>2800000</v>
      </c>
      <c r="N43" s="437">
        <f t="shared" ref="N43:N58" si="29">H43-L43</f>
        <v>6600000</v>
      </c>
      <c r="O43" s="436">
        <f t="shared" si="26"/>
        <v>0.7021276595744681</v>
      </c>
      <c r="P43" s="188">
        <f t="shared" ref="P43:P58" si="30">L43</f>
        <v>2800000</v>
      </c>
      <c r="Q43" s="432">
        <f t="shared" ref="Q43:Q58" si="31">M43-P43</f>
        <v>0</v>
      </c>
      <c r="R43" s="435">
        <f>SUM(R44:R47)</f>
        <v>0</v>
      </c>
    </row>
    <row r="44" spans="1:18" ht="15" x14ac:dyDescent="0.25">
      <c r="A44" s="496" t="s">
        <v>236</v>
      </c>
      <c r="B44" s="194" t="s">
        <v>44</v>
      </c>
      <c r="C44" s="159">
        <v>73027607</v>
      </c>
      <c r="D44" s="186"/>
      <c r="E44" s="457"/>
      <c r="F44" s="458"/>
      <c r="G44" s="459"/>
      <c r="H44" s="185">
        <f t="shared" si="27"/>
        <v>73027607</v>
      </c>
      <c r="I44" s="186">
        <f>FEBRERO!I44+FEBRERO!J44</f>
        <v>20220540</v>
      </c>
      <c r="J44" s="209">
        <v>5605401</v>
      </c>
      <c r="K44" s="187">
        <f t="shared" si="28"/>
        <v>0.35364627242954844</v>
      </c>
      <c r="L44" s="188">
        <f t="shared" ref="L44:L58" si="32">J44+I44</f>
        <v>25825941</v>
      </c>
      <c r="M44" s="321">
        <f t="shared" ref="M44:M60" si="33">I44+J44</f>
        <v>25825941</v>
      </c>
      <c r="N44" s="189">
        <f t="shared" si="29"/>
        <v>47201666</v>
      </c>
      <c r="O44" s="198">
        <f t="shared" si="26"/>
        <v>0.64635372757045151</v>
      </c>
      <c r="P44" s="188">
        <f t="shared" si="30"/>
        <v>25825941</v>
      </c>
      <c r="Q44" s="432">
        <f t="shared" si="31"/>
        <v>0</v>
      </c>
      <c r="R44" s="432">
        <f>L44-M44</f>
        <v>0</v>
      </c>
    </row>
    <row r="45" spans="1:18" ht="15" x14ac:dyDescent="0.25">
      <c r="A45" s="496" t="s">
        <v>237</v>
      </c>
      <c r="B45" s="194" t="s">
        <v>46</v>
      </c>
      <c r="C45" s="159">
        <v>2000000</v>
      </c>
      <c r="D45" s="186"/>
      <c r="E45" s="457"/>
      <c r="F45" s="458"/>
      <c r="G45" s="459"/>
      <c r="H45" s="185">
        <f t="shared" si="27"/>
        <v>2000000</v>
      </c>
      <c r="I45" s="186">
        <f>FEBRERO!I45+FEBRERO!J45</f>
        <v>300000</v>
      </c>
      <c r="J45" s="209">
        <v>190000</v>
      </c>
      <c r="K45" s="187">
        <f t="shared" si="28"/>
        <v>0.245</v>
      </c>
      <c r="L45" s="188">
        <f t="shared" si="32"/>
        <v>490000</v>
      </c>
      <c r="M45" s="321">
        <f t="shared" si="33"/>
        <v>490000</v>
      </c>
      <c r="N45" s="189">
        <f t="shared" si="29"/>
        <v>1510000</v>
      </c>
      <c r="O45" s="198">
        <f t="shared" si="26"/>
        <v>0.755</v>
      </c>
      <c r="P45" s="188">
        <f t="shared" si="30"/>
        <v>490000</v>
      </c>
      <c r="Q45" s="432">
        <f t="shared" si="31"/>
        <v>0</v>
      </c>
      <c r="R45" s="432">
        <f>L45-M45</f>
        <v>0</v>
      </c>
    </row>
    <row r="46" spans="1:18" ht="15" x14ac:dyDescent="0.25">
      <c r="A46" s="496" t="s">
        <v>238</v>
      </c>
      <c r="B46" s="194" t="s">
        <v>48</v>
      </c>
      <c r="C46" s="159">
        <f>750000*12</f>
        <v>9000000</v>
      </c>
      <c r="D46" s="186"/>
      <c r="E46" s="457"/>
      <c r="F46" s="458"/>
      <c r="G46" s="459"/>
      <c r="H46" s="185">
        <f t="shared" si="27"/>
        <v>9000000</v>
      </c>
      <c r="I46" s="186">
        <f>FEBRERO!I46+FEBRERO!J46</f>
        <v>1328700</v>
      </c>
      <c r="J46" s="209">
        <v>1230400</v>
      </c>
      <c r="K46" s="187">
        <f t="shared" si="28"/>
        <v>0.28434444444444446</v>
      </c>
      <c r="L46" s="188">
        <f t="shared" si="32"/>
        <v>2559100</v>
      </c>
      <c r="M46" s="321">
        <f t="shared" si="33"/>
        <v>2559100</v>
      </c>
      <c r="N46" s="189">
        <f t="shared" si="29"/>
        <v>6440900</v>
      </c>
      <c r="O46" s="190">
        <f t="shared" si="26"/>
        <v>0.7156555555555556</v>
      </c>
      <c r="P46" s="188">
        <f t="shared" si="30"/>
        <v>2559100</v>
      </c>
      <c r="Q46" s="432">
        <f t="shared" si="31"/>
        <v>0</v>
      </c>
      <c r="R46" s="432">
        <f>L46-M46</f>
        <v>0</v>
      </c>
    </row>
    <row r="47" spans="1:18" ht="15" x14ac:dyDescent="0.25">
      <c r="A47" s="496" t="s">
        <v>239</v>
      </c>
      <c r="B47" s="194" t="s">
        <v>50</v>
      </c>
      <c r="C47" s="159">
        <v>4500000</v>
      </c>
      <c r="D47" s="186"/>
      <c r="E47" s="457"/>
      <c r="F47" s="458"/>
      <c r="G47" s="459"/>
      <c r="H47" s="185">
        <f t="shared" si="27"/>
        <v>4500000</v>
      </c>
      <c r="I47" s="186">
        <f>FEBRERO!I47+FEBRERO!J47</f>
        <v>342357</v>
      </c>
      <c r="J47" s="209">
        <v>687434</v>
      </c>
      <c r="K47" s="187">
        <f t="shared" si="28"/>
        <v>0.22884244444444443</v>
      </c>
      <c r="L47" s="188">
        <f t="shared" si="32"/>
        <v>1029791</v>
      </c>
      <c r="M47" s="321">
        <f t="shared" si="33"/>
        <v>1029791</v>
      </c>
      <c r="N47" s="189">
        <f t="shared" si="29"/>
        <v>3470209</v>
      </c>
      <c r="O47" s="190">
        <f t="shared" si="26"/>
        <v>0.77115755555555554</v>
      </c>
      <c r="P47" s="188">
        <f t="shared" si="30"/>
        <v>1029791</v>
      </c>
      <c r="Q47" s="432">
        <f t="shared" si="31"/>
        <v>0</v>
      </c>
      <c r="R47" s="432">
        <f>L47-M47</f>
        <v>0</v>
      </c>
    </row>
    <row r="48" spans="1:18" ht="15.75" x14ac:dyDescent="0.25">
      <c r="A48" s="496" t="s">
        <v>240</v>
      </c>
      <c r="B48" s="194" t="s">
        <v>52</v>
      </c>
      <c r="C48" s="159">
        <v>2500000</v>
      </c>
      <c r="D48" s="186"/>
      <c r="E48" s="457"/>
      <c r="F48" s="458"/>
      <c r="G48" s="459"/>
      <c r="H48" s="185">
        <f t="shared" si="27"/>
        <v>2500000</v>
      </c>
      <c r="I48" s="186">
        <f>FEBRERO!I48+FEBRERO!J48</f>
        <v>214414</v>
      </c>
      <c r="J48" s="209">
        <v>230720</v>
      </c>
      <c r="K48" s="187">
        <f t="shared" si="28"/>
        <v>0.17805360000000001</v>
      </c>
      <c r="L48" s="188">
        <f t="shared" si="32"/>
        <v>445134</v>
      </c>
      <c r="M48" s="434">
        <f t="shared" si="33"/>
        <v>445134</v>
      </c>
      <c r="N48" s="189">
        <f t="shared" si="29"/>
        <v>2054866</v>
      </c>
      <c r="O48" s="190">
        <v>0</v>
      </c>
      <c r="P48" s="188">
        <f t="shared" si="30"/>
        <v>445134</v>
      </c>
      <c r="Q48" s="432">
        <f t="shared" si="31"/>
        <v>0</v>
      </c>
      <c r="R48" s="433">
        <f>SUM(R49:R58)</f>
        <v>0</v>
      </c>
    </row>
    <row r="49" spans="1:18" ht="15" x14ac:dyDescent="0.25">
      <c r="A49" s="496" t="s">
        <v>241</v>
      </c>
      <c r="B49" s="197" t="s">
        <v>54</v>
      </c>
      <c r="C49" s="159">
        <v>1500000</v>
      </c>
      <c r="D49" s="186"/>
      <c r="E49" s="457"/>
      <c r="F49" s="458"/>
      <c r="G49" s="459"/>
      <c r="H49" s="185">
        <f t="shared" si="27"/>
        <v>1500000</v>
      </c>
      <c r="I49" s="186">
        <f>FEBRERO!I49+FEBRERO!J49</f>
        <v>200000</v>
      </c>
      <c r="J49" s="209">
        <v>14200</v>
      </c>
      <c r="K49" s="187">
        <f t="shared" si="28"/>
        <v>0.14280000000000001</v>
      </c>
      <c r="L49" s="188">
        <f>J49+I49</f>
        <v>214200</v>
      </c>
      <c r="M49" s="321">
        <f>I49+J49</f>
        <v>214200</v>
      </c>
      <c r="N49" s="189">
        <f t="shared" si="29"/>
        <v>1285800</v>
      </c>
      <c r="O49" s="190">
        <f>N49/H49</f>
        <v>0.85719999999999996</v>
      </c>
      <c r="P49" s="188">
        <f t="shared" si="30"/>
        <v>214200</v>
      </c>
      <c r="Q49" s="432">
        <f t="shared" si="31"/>
        <v>0</v>
      </c>
      <c r="R49" s="432">
        <f t="shared" ref="R49:R58" si="34">L49-M49</f>
        <v>0</v>
      </c>
    </row>
    <row r="50" spans="1:18" ht="15" x14ac:dyDescent="0.25">
      <c r="A50" s="181">
        <v>2021020208</v>
      </c>
      <c r="B50" s="194" t="s">
        <v>56</v>
      </c>
      <c r="C50" s="159">
        <v>0</v>
      </c>
      <c r="D50" s="186"/>
      <c r="E50" s="457"/>
      <c r="F50" s="458"/>
      <c r="G50" s="459"/>
      <c r="H50" s="185">
        <f t="shared" si="27"/>
        <v>0</v>
      </c>
      <c r="I50" s="186">
        <f>FEBRERO!I50+FEBRERO!J50</f>
        <v>0</v>
      </c>
      <c r="J50" s="209">
        <v>0</v>
      </c>
      <c r="K50" s="187">
        <v>0</v>
      </c>
      <c r="L50" s="188">
        <f t="shared" si="32"/>
        <v>0</v>
      </c>
      <c r="M50" s="321">
        <f t="shared" si="33"/>
        <v>0</v>
      </c>
      <c r="N50" s="189">
        <f t="shared" si="29"/>
        <v>0</v>
      </c>
      <c r="O50" s="190">
        <v>0</v>
      </c>
      <c r="P50" s="188">
        <f t="shared" si="30"/>
        <v>0</v>
      </c>
      <c r="Q50" s="432">
        <f t="shared" si="31"/>
        <v>0</v>
      </c>
      <c r="R50" s="432">
        <f t="shared" si="34"/>
        <v>0</v>
      </c>
    </row>
    <row r="51" spans="1:18" ht="15" x14ac:dyDescent="0.25">
      <c r="A51" s="496" t="s">
        <v>242</v>
      </c>
      <c r="B51" s="194" t="s">
        <v>58</v>
      </c>
      <c r="C51" s="159">
        <v>5000000</v>
      </c>
      <c r="D51" s="186"/>
      <c r="E51" s="457"/>
      <c r="F51" s="458"/>
      <c r="G51" s="459"/>
      <c r="H51" s="185">
        <f t="shared" si="27"/>
        <v>5000000</v>
      </c>
      <c r="I51" s="186">
        <f>FEBRERO!I51+FEBRERO!J51</f>
        <v>2364339</v>
      </c>
      <c r="J51" s="209">
        <v>0</v>
      </c>
      <c r="K51" s="187">
        <f>L51/H51</f>
        <v>0.4728678</v>
      </c>
      <c r="L51" s="188">
        <f t="shared" si="32"/>
        <v>2364339</v>
      </c>
      <c r="M51" s="321">
        <f t="shared" si="33"/>
        <v>2364339</v>
      </c>
      <c r="N51" s="189">
        <f t="shared" si="29"/>
        <v>2635661</v>
      </c>
      <c r="O51" s="190">
        <f>N51/H51</f>
        <v>0.52713220000000005</v>
      </c>
      <c r="P51" s="188">
        <f t="shared" si="30"/>
        <v>2364339</v>
      </c>
      <c r="Q51" s="432">
        <f t="shared" si="31"/>
        <v>0</v>
      </c>
      <c r="R51" s="432">
        <f t="shared" si="34"/>
        <v>0</v>
      </c>
    </row>
    <row r="52" spans="1:18" ht="15" x14ac:dyDescent="0.25">
      <c r="A52" s="496" t="s">
        <v>243</v>
      </c>
      <c r="B52" s="197" t="s">
        <v>60</v>
      </c>
      <c r="C52" s="159">
        <v>24000000</v>
      </c>
      <c r="D52" s="186"/>
      <c r="E52" s="457"/>
      <c r="F52" s="458"/>
      <c r="G52" s="459"/>
      <c r="H52" s="185">
        <f t="shared" si="27"/>
        <v>24000000</v>
      </c>
      <c r="I52" s="186">
        <f>FEBRERO!I52+FEBRERO!J52</f>
        <v>0</v>
      </c>
      <c r="J52" s="209">
        <v>0</v>
      </c>
      <c r="K52" s="187">
        <f>L52/H52</f>
        <v>0</v>
      </c>
      <c r="L52" s="188">
        <f t="shared" si="32"/>
        <v>0</v>
      </c>
      <c r="M52" s="321">
        <f t="shared" si="33"/>
        <v>0</v>
      </c>
      <c r="N52" s="189">
        <f t="shared" si="29"/>
        <v>24000000</v>
      </c>
      <c r="O52" s="190">
        <f>N52/H52</f>
        <v>1</v>
      </c>
      <c r="P52" s="188">
        <f t="shared" si="30"/>
        <v>0</v>
      </c>
      <c r="Q52" s="432">
        <f t="shared" si="31"/>
        <v>0</v>
      </c>
      <c r="R52" s="432">
        <f t="shared" si="34"/>
        <v>0</v>
      </c>
    </row>
    <row r="53" spans="1:18" ht="15" x14ac:dyDescent="0.25">
      <c r="A53" s="496" t="s">
        <v>244</v>
      </c>
      <c r="B53" s="194" t="s">
        <v>62</v>
      </c>
      <c r="C53" s="159">
        <v>4000000</v>
      </c>
      <c r="D53" s="186"/>
      <c r="E53" s="457"/>
      <c r="F53" s="458"/>
      <c r="G53" s="459"/>
      <c r="H53" s="185">
        <f t="shared" si="27"/>
        <v>4000000</v>
      </c>
      <c r="I53" s="186">
        <f>FEBRERO!I53+FEBRERO!J53</f>
        <v>1785000</v>
      </c>
      <c r="J53" s="209">
        <v>0</v>
      </c>
      <c r="K53" s="187">
        <v>0</v>
      </c>
      <c r="L53" s="188">
        <f t="shared" si="32"/>
        <v>1785000</v>
      </c>
      <c r="M53" s="321">
        <f t="shared" si="33"/>
        <v>1785000</v>
      </c>
      <c r="N53" s="189">
        <f t="shared" si="29"/>
        <v>2215000</v>
      </c>
      <c r="O53" s="190">
        <v>0</v>
      </c>
      <c r="P53" s="188">
        <f t="shared" si="30"/>
        <v>1785000</v>
      </c>
      <c r="Q53" s="432">
        <f t="shared" si="31"/>
        <v>0</v>
      </c>
      <c r="R53" s="432">
        <f t="shared" si="34"/>
        <v>0</v>
      </c>
    </row>
    <row r="54" spans="1:18" ht="15" x14ac:dyDescent="0.25">
      <c r="A54" s="496" t="s">
        <v>245</v>
      </c>
      <c r="B54" s="194" t="s">
        <v>64</v>
      </c>
      <c r="C54" s="159">
        <v>22000000</v>
      </c>
      <c r="D54" s="186"/>
      <c r="E54" s="457"/>
      <c r="F54" s="458"/>
      <c r="G54" s="459"/>
      <c r="H54" s="185">
        <f t="shared" si="27"/>
        <v>22000000</v>
      </c>
      <c r="I54" s="186">
        <f>FEBRERO!I54+FEBRERO!J54</f>
        <v>0</v>
      </c>
      <c r="J54" s="209">
        <v>0</v>
      </c>
      <c r="K54" s="187">
        <v>0</v>
      </c>
      <c r="L54" s="188">
        <f t="shared" si="32"/>
        <v>0</v>
      </c>
      <c r="M54" s="321">
        <f t="shared" si="33"/>
        <v>0</v>
      </c>
      <c r="N54" s="189">
        <f t="shared" si="29"/>
        <v>22000000</v>
      </c>
      <c r="O54" s="190">
        <v>0</v>
      </c>
      <c r="P54" s="188">
        <f t="shared" si="30"/>
        <v>0</v>
      </c>
      <c r="Q54" s="432">
        <f t="shared" si="31"/>
        <v>0</v>
      </c>
      <c r="R54" s="432">
        <f t="shared" si="34"/>
        <v>0</v>
      </c>
    </row>
    <row r="55" spans="1:18" ht="15" x14ac:dyDescent="0.25">
      <c r="A55" s="181">
        <v>2021020213</v>
      </c>
      <c r="B55" s="194" t="s">
        <v>65</v>
      </c>
      <c r="C55" s="159">
        <v>0</v>
      </c>
      <c r="D55" s="186"/>
      <c r="E55" s="457"/>
      <c r="F55" s="458"/>
      <c r="G55" s="459"/>
      <c r="H55" s="185">
        <f t="shared" si="27"/>
        <v>0</v>
      </c>
      <c r="I55" s="186">
        <f>FEBRERO!I55+FEBRERO!J55</f>
        <v>0</v>
      </c>
      <c r="J55" s="209">
        <v>0</v>
      </c>
      <c r="K55" s="187">
        <v>0</v>
      </c>
      <c r="L55" s="188">
        <f t="shared" si="32"/>
        <v>0</v>
      </c>
      <c r="M55" s="321">
        <f t="shared" si="33"/>
        <v>0</v>
      </c>
      <c r="N55" s="189">
        <f t="shared" si="29"/>
        <v>0</v>
      </c>
      <c r="O55" s="190">
        <v>0</v>
      </c>
      <c r="P55" s="188">
        <f t="shared" si="30"/>
        <v>0</v>
      </c>
      <c r="Q55" s="432">
        <f t="shared" si="31"/>
        <v>0</v>
      </c>
      <c r="R55" s="432">
        <f t="shared" si="34"/>
        <v>0</v>
      </c>
    </row>
    <row r="56" spans="1:18" ht="15" x14ac:dyDescent="0.25">
      <c r="A56" s="181">
        <v>2021020214</v>
      </c>
      <c r="B56" s="194" t="s">
        <v>67</v>
      </c>
      <c r="C56" s="159">
        <v>0</v>
      </c>
      <c r="D56" s="186"/>
      <c r="E56" s="457"/>
      <c r="F56" s="458"/>
      <c r="G56" s="459"/>
      <c r="H56" s="185">
        <f t="shared" si="27"/>
        <v>0</v>
      </c>
      <c r="I56" s="186">
        <f>FEBRERO!I56+FEBRERO!J56</f>
        <v>0</v>
      </c>
      <c r="J56" s="209">
        <v>0</v>
      </c>
      <c r="K56" s="187">
        <v>0</v>
      </c>
      <c r="L56" s="188">
        <f t="shared" si="32"/>
        <v>0</v>
      </c>
      <c r="M56" s="321">
        <f t="shared" si="33"/>
        <v>0</v>
      </c>
      <c r="N56" s="189">
        <f t="shared" si="29"/>
        <v>0</v>
      </c>
      <c r="O56" s="190">
        <v>0</v>
      </c>
      <c r="P56" s="188">
        <f t="shared" si="30"/>
        <v>0</v>
      </c>
      <c r="Q56" s="432">
        <f t="shared" si="31"/>
        <v>0</v>
      </c>
      <c r="R56" s="432">
        <f t="shared" si="34"/>
        <v>0</v>
      </c>
    </row>
    <row r="57" spans="1:18" ht="15" x14ac:dyDescent="0.25">
      <c r="A57" s="496" t="s">
        <v>246</v>
      </c>
      <c r="B57" s="194" t="s">
        <v>97</v>
      </c>
      <c r="C57" s="159">
        <v>1300000</v>
      </c>
      <c r="D57" s="186"/>
      <c r="E57" s="457"/>
      <c r="F57" s="458"/>
      <c r="G57" s="459"/>
      <c r="H57" s="185">
        <f t="shared" si="27"/>
        <v>1300000</v>
      </c>
      <c r="I57" s="186">
        <f>FEBRERO!I57+FEBRERO!J57</f>
        <v>0</v>
      </c>
      <c r="J57" s="209">
        <v>0</v>
      </c>
      <c r="K57" s="187">
        <f>L57/H57</f>
        <v>0</v>
      </c>
      <c r="L57" s="188">
        <f t="shared" si="32"/>
        <v>0</v>
      </c>
      <c r="M57" s="321">
        <f t="shared" si="33"/>
        <v>0</v>
      </c>
      <c r="N57" s="189">
        <f t="shared" si="29"/>
        <v>1300000</v>
      </c>
      <c r="O57" s="190">
        <f>N57/H57</f>
        <v>1</v>
      </c>
      <c r="P57" s="188">
        <f t="shared" si="30"/>
        <v>0</v>
      </c>
      <c r="Q57" s="432">
        <f t="shared" si="31"/>
        <v>0</v>
      </c>
      <c r="R57" s="432">
        <f t="shared" si="34"/>
        <v>0</v>
      </c>
    </row>
    <row r="58" spans="1:18" ht="15" x14ac:dyDescent="0.25">
      <c r="A58" s="199">
        <v>2021020216</v>
      </c>
      <c r="B58" s="194" t="s">
        <v>148</v>
      </c>
      <c r="C58" s="159">
        <v>0</v>
      </c>
      <c r="D58" s="186"/>
      <c r="E58" s="457"/>
      <c r="F58" s="458"/>
      <c r="G58" s="459"/>
      <c r="H58" s="185">
        <f t="shared" si="27"/>
        <v>0</v>
      </c>
      <c r="I58" s="186">
        <f>FEBRERO!I58+FEBRERO!J58</f>
        <v>0</v>
      </c>
      <c r="J58" s="209">
        <v>0</v>
      </c>
      <c r="K58" s="187">
        <v>0</v>
      </c>
      <c r="L58" s="188">
        <f t="shared" si="32"/>
        <v>0</v>
      </c>
      <c r="M58" s="321">
        <f t="shared" si="33"/>
        <v>0</v>
      </c>
      <c r="N58" s="189">
        <f t="shared" si="29"/>
        <v>0</v>
      </c>
      <c r="O58" s="190">
        <v>0</v>
      </c>
      <c r="P58" s="188">
        <f t="shared" si="30"/>
        <v>0</v>
      </c>
      <c r="Q58" s="432">
        <f t="shared" si="31"/>
        <v>0</v>
      </c>
      <c r="R58" s="432">
        <f t="shared" si="34"/>
        <v>0</v>
      </c>
    </row>
    <row r="59" spans="1:18" ht="27" customHeight="1" x14ac:dyDescent="0.2">
      <c r="A59" s="497">
        <v>20210301</v>
      </c>
      <c r="B59" s="195" t="s">
        <v>95</v>
      </c>
      <c r="C59" s="201">
        <f>C60</f>
        <v>0</v>
      </c>
      <c r="D59" s="206">
        <f>D60</f>
        <v>0</v>
      </c>
      <c r="E59" s="206">
        <f>E60</f>
        <v>0</v>
      </c>
      <c r="F59" s="206">
        <f>F60</f>
        <v>0</v>
      </c>
      <c r="G59" s="206">
        <f>G60</f>
        <v>0</v>
      </c>
      <c r="H59" s="176">
        <f>SUM(H60:H60)</f>
        <v>0</v>
      </c>
      <c r="I59" s="176">
        <f>SUM(I60:I60)</f>
        <v>0</v>
      </c>
      <c r="J59" s="176">
        <f>SUM(J60:J60)</f>
        <v>0</v>
      </c>
      <c r="K59" s="177">
        <f>K60</f>
        <v>1</v>
      </c>
      <c r="L59" s="178">
        <f>L60</f>
        <v>0</v>
      </c>
      <c r="M59" s="191">
        <f t="shared" si="33"/>
        <v>0</v>
      </c>
      <c r="N59" s="191">
        <f>SUM(N60:N60)</f>
        <v>0</v>
      </c>
      <c r="O59" s="179">
        <v>0</v>
      </c>
      <c r="P59" s="176">
        <f>SUM(P60:P60)</f>
        <v>0</v>
      </c>
      <c r="Q59" s="176">
        <f>SUM(Q60:Q60)</f>
        <v>0</v>
      </c>
      <c r="R59" s="176">
        <f>SUM(R60:R60)</f>
        <v>0</v>
      </c>
    </row>
    <row r="60" spans="1:18" ht="15" x14ac:dyDescent="0.25">
      <c r="A60" s="207">
        <v>2021030101</v>
      </c>
      <c r="B60" s="208" t="s">
        <v>96</v>
      </c>
      <c r="C60" s="183"/>
      <c r="D60" s="209">
        <v>0</v>
      </c>
      <c r="E60" s="457"/>
      <c r="F60" s="458"/>
      <c r="G60" s="459"/>
      <c r="H60" s="185">
        <f>C60-D60+E60+F60-G60</f>
        <v>0</v>
      </c>
      <c r="I60" s="186">
        <f>FEBRERO!I54+FEBRERO!J54</f>
        <v>0</v>
      </c>
      <c r="J60" s="209">
        <v>0</v>
      </c>
      <c r="K60" s="187">
        <v>1</v>
      </c>
      <c r="L60" s="188">
        <f>J60+I60</f>
        <v>0</v>
      </c>
      <c r="M60" s="321">
        <f t="shared" si="33"/>
        <v>0</v>
      </c>
      <c r="N60" s="189">
        <f>H60-L60</f>
        <v>0</v>
      </c>
      <c r="O60" s="190">
        <v>0</v>
      </c>
      <c r="P60" s="188">
        <f>L60</f>
        <v>0</v>
      </c>
      <c r="Q60" s="432">
        <f>M60-P60</f>
        <v>0</v>
      </c>
      <c r="R60" s="188"/>
    </row>
    <row r="61" spans="1:18" s="216" customFormat="1" ht="31.5" customHeight="1" x14ac:dyDescent="0.2">
      <c r="A61" s="210"/>
      <c r="B61" s="211" t="s">
        <v>165</v>
      </c>
      <c r="C61" s="212">
        <f>C26+C21+C42+C17+C37+C8+C59</f>
        <v>1168442348</v>
      </c>
      <c r="D61" s="213">
        <f>D9+D26</f>
        <v>0</v>
      </c>
      <c r="E61" s="213">
        <f>E8+E17+E37+E42+E21+E26+E59</f>
        <v>0</v>
      </c>
      <c r="F61" s="213">
        <f>F8+F17+F37+F42++F21+F26+F59</f>
        <v>13000000</v>
      </c>
      <c r="G61" s="213">
        <f>G8+G17+G37+G42+G21+G26+G59</f>
        <v>13000000</v>
      </c>
      <c r="H61" s="213">
        <f>H8+H17+H37+H42+H21+H26+H59</f>
        <v>1168442348</v>
      </c>
      <c r="I61" s="213">
        <f>I8+I17+I37+I42+I21+I26+I59</f>
        <v>135234856.86666667</v>
      </c>
      <c r="J61" s="213">
        <f>J8+J17+J37+J42+J21+J26+J59</f>
        <v>154379075</v>
      </c>
      <c r="K61" s="214">
        <f>L61/H61</f>
        <v>0.24786326202776987</v>
      </c>
      <c r="L61" s="213">
        <f>L8+L17+L37+L42+L21+L26+L59</f>
        <v>289613931.86666667</v>
      </c>
      <c r="M61" s="213">
        <f>M8+M17+M37+M42+M21+M26+M59</f>
        <v>289613931.86666667</v>
      </c>
      <c r="N61" s="213">
        <f>N8+N17+N37+N42+N21+N26+N59</f>
        <v>878828416.13333333</v>
      </c>
      <c r="O61" s="215">
        <f>N61/H61</f>
        <v>0.75213673797223013</v>
      </c>
      <c r="P61" s="213">
        <f>P8+P17+P37+P42+P21+P26+P59</f>
        <v>238713931.86666667</v>
      </c>
      <c r="Q61" s="213">
        <f>Q8+Q17+Q37+Q42+Q21+Q26+Q59</f>
        <v>50900000</v>
      </c>
      <c r="R61" s="213">
        <f>R9+R17+R21+R26+R43+R48+R59</f>
        <v>0</v>
      </c>
    </row>
    <row r="62" spans="1:18" ht="35.25" customHeight="1" x14ac:dyDescent="0.25">
      <c r="A62" s="431" t="s">
        <v>166</v>
      </c>
      <c r="B62" s="682" t="s">
        <v>271</v>
      </c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4"/>
      <c r="P62" s="217"/>
      <c r="Q62" s="217"/>
      <c r="R62" s="217"/>
    </row>
    <row r="64" spans="1:18" x14ac:dyDescent="0.2">
      <c r="D64" s="218"/>
      <c r="E64" s="218"/>
      <c r="F64" s="218"/>
      <c r="G64" s="218"/>
      <c r="N64" s="218"/>
    </row>
    <row r="65" spans="4:14" x14ac:dyDescent="0.2">
      <c r="G65" s="218"/>
      <c r="I65" s="218"/>
      <c r="J65" s="221"/>
      <c r="N65" s="218"/>
    </row>
    <row r="66" spans="4:14" x14ac:dyDescent="0.2">
      <c r="D66" s="218"/>
      <c r="J66" s="218"/>
      <c r="K66" s="218"/>
      <c r="N66" s="218"/>
    </row>
    <row r="67" spans="4:14" x14ac:dyDescent="0.2">
      <c r="H67" s="218"/>
      <c r="J67" s="218"/>
      <c r="N67" s="218"/>
    </row>
    <row r="68" spans="4:14" x14ac:dyDescent="0.2">
      <c r="H68" s="218"/>
      <c r="J68" s="218"/>
    </row>
  </sheetData>
  <mergeCells count="5">
    <mergeCell ref="A1:O1"/>
    <mergeCell ref="A2:O2"/>
    <mergeCell ref="A3:O3"/>
    <mergeCell ref="K5:K6"/>
    <mergeCell ref="B62:O62"/>
  </mergeCells>
  <printOptions horizontalCentered="1" verticalCentered="1"/>
  <pageMargins left="0.23622047244094491" right="0.23622047244094491" top="0.39370078740157483" bottom="0.39370078740157483" header="0" footer="0"/>
  <pageSetup paperSize="14" scale="4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0895-712F-498F-BECB-369CD2343B1F}">
  <sheetPr>
    <tabColor rgb="FF0070C0"/>
  </sheetPr>
  <dimension ref="A1:R68"/>
  <sheetViews>
    <sheetView showGridLines="0" view="pageBreakPreview" zoomScale="80" zoomScaleNormal="80" zoomScaleSheetLayoutView="80" workbookViewId="0">
      <pane xSplit="2" ySplit="7" topLeftCell="F41" activePane="bottomRight" state="frozen"/>
      <selection activeCell="J677" sqref="J677"/>
      <selection pane="topRight" activeCell="J677" sqref="J677"/>
      <selection pane="bottomLeft" activeCell="J677" sqref="J677"/>
      <selection pane="bottomRight" activeCell="P18" sqref="P18"/>
    </sheetView>
  </sheetViews>
  <sheetFormatPr baseColWidth="10" defaultRowHeight="14.25" x14ac:dyDescent="0.2"/>
  <cols>
    <col min="1" max="1" width="16" style="219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220" customWidth="1"/>
    <col min="13" max="13" width="21.375" style="220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456"/>
      <c r="Q1" s="456"/>
      <c r="R1" s="456"/>
    </row>
    <row r="2" spans="1:18" ht="18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455"/>
      <c r="Q2" s="455"/>
      <c r="R2" s="455"/>
    </row>
    <row r="3" spans="1:18" ht="18" x14ac:dyDescent="0.25">
      <c r="A3" s="679" t="s">
        <v>290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455"/>
      <c r="Q3" s="455"/>
      <c r="R3" s="455"/>
    </row>
    <row r="4" spans="1:18" ht="18.75" thickBot="1" x14ac:dyDescent="0.3">
      <c r="A4" s="169"/>
      <c r="B4" s="170"/>
      <c r="C4" s="170"/>
      <c r="D4" s="170"/>
      <c r="E4" s="171"/>
      <c r="F4" s="171"/>
      <c r="G4" s="170"/>
      <c r="H4" s="170"/>
      <c r="I4" s="170"/>
      <c r="J4" s="170"/>
      <c r="K4" s="170"/>
      <c r="L4" s="172"/>
      <c r="M4" s="172"/>
      <c r="N4" s="170"/>
      <c r="O4" s="173"/>
    </row>
    <row r="5" spans="1:18" s="325" customFormat="1" ht="23.25" customHeight="1" x14ac:dyDescent="0.25">
      <c r="A5" s="454" t="s">
        <v>201</v>
      </c>
      <c r="B5" s="453" t="s">
        <v>1</v>
      </c>
      <c r="C5" s="427" t="s">
        <v>200</v>
      </c>
      <c r="D5" s="322" t="s">
        <v>199</v>
      </c>
      <c r="E5" s="428" t="s">
        <v>158</v>
      </c>
      <c r="F5" s="428" t="s">
        <v>2</v>
      </c>
      <c r="G5" s="427" t="s">
        <v>198</v>
      </c>
      <c r="H5" s="322" t="s">
        <v>196</v>
      </c>
      <c r="I5" s="428" t="s">
        <v>197</v>
      </c>
      <c r="J5" s="427" t="s">
        <v>159</v>
      </c>
      <c r="K5" s="680" t="s">
        <v>160</v>
      </c>
      <c r="L5" s="323" t="s">
        <v>196</v>
      </c>
      <c r="M5" s="323"/>
      <c r="N5" s="427" t="s">
        <v>161</v>
      </c>
      <c r="O5" s="324" t="s">
        <v>160</v>
      </c>
      <c r="P5" s="322" t="s">
        <v>172</v>
      </c>
      <c r="Q5" s="322" t="s">
        <v>173</v>
      </c>
      <c r="R5" s="322" t="s">
        <v>174</v>
      </c>
    </row>
    <row r="6" spans="1:18" s="325" customFormat="1" ht="23.25" customHeight="1" thickBot="1" x14ac:dyDescent="0.3">
      <c r="A6" s="452"/>
      <c r="B6" s="451"/>
      <c r="C6" s="447" t="s">
        <v>3</v>
      </c>
      <c r="D6" s="445"/>
      <c r="E6" s="450"/>
      <c r="F6" s="450"/>
      <c r="G6" s="447" t="s">
        <v>2</v>
      </c>
      <c r="H6" s="445" t="s">
        <v>157</v>
      </c>
      <c r="I6" s="449" t="s">
        <v>162</v>
      </c>
      <c r="J6" s="447" t="s">
        <v>163</v>
      </c>
      <c r="K6" s="681"/>
      <c r="L6" s="448" t="s">
        <v>195</v>
      </c>
      <c r="M6" s="448" t="s">
        <v>177</v>
      </c>
      <c r="N6" s="447" t="s">
        <v>164</v>
      </c>
      <c r="O6" s="446"/>
      <c r="P6" s="445" t="s">
        <v>194</v>
      </c>
      <c r="Q6" s="445" t="s">
        <v>175</v>
      </c>
      <c r="R6" s="445" t="s">
        <v>176</v>
      </c>
    </row>
    <row r="7" spans="1:18" ht="15" x14ac:dyDescent="0.25">
      <c r="A7" s="495"/>
      <c r="B7" s="494"/>
      <c r="C7" s="442"/>
      <c r="D7" s="442"/>
      <c r="E7" s="444"/>
      <c r="F7" s="444"/>
      <c r="G7" s="442"/>
      <c r="H7" s="442"/>
      <c r="I7" s="443"/>
      <c r="J7" s="442"/>
      <c r="K7" s="442"/>
      <c r="L7" s="441"/>
      <c r="M7" s="441"/>
      <c r="N7" s="440"/>
      <c r="O7" s="174"/>
      <c r="P7" s="439"/>
      <c r="Q7" s="439"/>
      <c r="R7" s="439"/>
    </row>
    <row r="8" spans="1:18" s="180" customFormat="1" ht="27.75" customHeight="1" x14ac:dyDescent="0.2">
      <c r="A8" s="497">
        <v>20210101</v>
      </c>
      <c r="B8" s="175" t="s">
        <v>5</v>
      </c>
      <c r="C8" s="176">
        <f t="shared" ref="C8:I8" si="0">SUM(C9:C16)</f>
        <v>699585000</v>
      </c>
      <c r="D8" s="176">
        <f t="shared" si="0"/>
        <v>0</v>
      </c>
      <c r="E8" s="176">
        <f t="shared" si="0"/>
        <v>0</v>
      </c>
      <c r="F8" s="176">
        <f t="shared" si="0"/>
        <v>0</v>
      </c>
      <c r="G8" s="176">
        <f t="shared" si="0"/>
        <v>66300000</v>
      </c>
      <c r="H8" s="176">
        <f t="shared" si="0"/>
        <v>633285000</v>
      </c>
      <c r="I8" s="176">
        <f t="shared" si="0"/>
        <v>116154127.86666666</v>
      </c>
      <c r="J8" s="176">
        <f>SUM(J9:J16)</f>
        <v>52793390</v>
      </c>
      <c r="K8" s="177">
        <f>L8/H8</f>
        <v>0.2667795982324967</v>
      </c>
      <c r="L8" s="178">
        <f>SUM(L9:L16)</f>
        <v>168947517.86666667</v>
      </c>
      <c r="M8" s="178">
        <f>SUM(M9:M16)</f>
        <v>168947517.86666667</v>
      </c>
      <c r="N8" s="176">
        <f>SUM(N9:N16)</f>
        <v>464337482.13333333</v>
      </c>
      <c r="O8" s="179">
        <f t="shared" ref="O8:O18" si="1">N8/H8</f>
        <v>0.73322040176750325</v>
      </c>
      <c r="P8" s="176">
        <f>SUM(P9:P16)</f>
        <v>168947517.86666667</v>
      </c>
      <c r="Q8" s="176">
        <f>SUM(Q9:Q16)</f>
        <v>0</v>
      </c>
      <c r="R8" s="176">
        <f>SUM(R9:R16)</f>
        <v>0</v>
      </c>
    </row>
    <row r="9" spans="1:18" ht="15" x14ac:dyDescent="0.25">
      <c r="A9" s="496">
        <v>2021010101</v>
      </c>
      <c r="B9" s="182" t="s">
        <v>7</v>
      </c>
      <c r="C9" s="159">
        <v>536000000</v>
      </c>
      <c r="D9" s="184"/>
      <c r="E9" s="457"/>
      <c r="F9" s="458"/>
      <c r="G9" s="459">
        <f>3000000+10000000+53300000</f>
        <v>66300000</v>
      </c>
      <c r="H9" s="185">
        <f t="shared" ref="H9:H16" si="2">C9-D9+E9+F9-G9</f>
        <v>469700000</v>
      </c>
      <c r="I9" s="186">
        <f>MARZO!I9+MARZO!J9</f>
        <v>111518641</v>
      </c>
      <c r="J9" s="186">
        <f>47617424-K67-K68</f>
        <v>46529230</v>
      </c>
      <c r="K9" s="187">
        <f>L9/H9</f>
        <v>0.33648684479454971</v>
      </c>
      <c r="L9" s="188">
        <f t="shared" ref="L9:L16" si="3">J9+I9</f>
        <v>158047871</v>
      </c>
      <c r="M9" s="321">
        <f>I9+J9</f>
        <v>158047871</v>
      </c>
      <c r="N9" s="189">
        <f t="shared" ref="N9:N16" si="4">H9-L9</f>
        <v>311652129</v>
      </c>
      <c r="O9" s="190">
        <f t="shared" si="1"/>
        <v>0.66351315520545029</v>
      </c>
      <c r="P9" s="432">
        <f>M9</f>
        <v>158047871</v>
      </c>
      <c r="Q9" s="432">
        <f t="shared" ref="Q9:Q16" si="5">M9-P9</f>
        <v>0</v>
      </c>
      <c r="R9" s="432">
        <f t="shared" ref="R9:R16" si="6">L9-M9</f>
        <v>0</v>
      </c>
    </row>
    <row r="10" spans="1:18" ht="15" x14ac:dyDescent="0.25">
      <c r="A10" s="496" t="s">
        <v>210</v>
      </c>
      <c r="B10" s="182" t="s">
        <v>11</v>
      </c>
      <c r="C10" s="159">
        <v>1320000</v>
      </c>
      <c r="D10" s="184"/>
      <c r="E10" s="457"/>
      <c r="F10" s="458"/>
      <c r="G10" s="459"/>
      <c r="H10" s="185">
        <f t="shared" si="2"/>
        <v>1320000</v>
      </c>
      <c r="I10" s="186">
        <f>MARZO!I10+MARZO!J10</f>
        <v>280328.8666666667</v>
      </c>
      <c r="J10" s="186">
        <v>106454</v>
      </c>
      <c r="K10" s="187">
        <f t="shared" ref="K10:K16" si="7">L10/H10</f>
        <v>0.29301732323232327</v>
      </c>
      <c r="L10" s="188">
        <f t="shared" si="3"/>
        <v>386782.8666666667</v>
      </c>
      <c r="M10" s="321">
        <f t="shared" ref="M10:M16" si="8">I10+J10</f>
        <v>386782.8666666667</v>
      </c>
      <c r="N10" s="189">
        <f t="shared" si="4"/>
        <v>933217.1333333333</v>
      </c>
      <c r="O10" s="190">
        <f t="shared" si="1"/>
        <v>0.70698267676767679</v>
      </c>
      <c r="P10" s="432">
        <f t="shared" ref="P10:P15" si="9">L10</f>
        <v>386782.8666666667</v>
      </c>
      <c r="Q10" s="432">
        <f t="shared" si="5"/>
        <v>0</v>
      </c>
      <c r="R10" s="432">
        <f t="shared" si="6"/>
        <v>0</v>
      </c>
    </row>
    <row r="11" spans="1:18" ht="15.75" customHeight="1" x14ac:dyDescent="0.25">
      <c r="A11" s="496" t="s">
        <v>211</v>
      </c>
      <c r="B11" s="182" t="s">
        <v>13</v>
      </c>
      <c r="C11" s="159">
        <v>848000</v>
      </c>
      <c r="D11" s="184"/>
      <c r="E11" s="457"/>
      <c r="F11" s="458"/>
      <c r="G11" s="459"/>
      <c r="H11" s="185">
        <f t="shared" si="2"/>
        <v>848000</v>
      </c>
      <c r="I11" s="186">
        <f>MARZO!I11+MARZO!J11</f>
        <v>174058</v>
      </c>
      <c r="J11" s="186">
        <v>66098</v>
      </c>
      <c r="K11" s="187">
        <f t="shared" si="7"/>
        <v>0.28320283018867926</v>
      </c>
      <c r="L11" s="188">
        <f t="shared" si="3"/>
        <v>240156</v>
      </c>
      <c r="M11" s="321">
        <f t="shared" si="8"/>
        <v>240156</v>
      </c>
      <c r="N11" s="189">
        <f t="shared" si="4"/>
        <v>607844</v>
      </c>
      <c r="O11" s="190">
        <f t="shared" si="1"/>
        <v>0.7167971698113208</v>
      </c>
      <c r="P11" s="432">
        <f t="shared" si="9"/>
        <v>240156</v>
      </c>
      <c r="Q11" s="432">
        <f t="shared" si="5"/>
        <v>0</v>
      </c>
      <c r="R11" s="432">
        <f t="shared" si="6"/>
        <v>0</v>
      </c>
    </row>
    <row r="12" spans="1:18" ht="15" x14ac:dyDescent="0.25">
      <c r="A12" s="496" t="s">
        <v>212</v>
      </c>
      <c r="B12" s="182" t="s">
        <v>15</v>
      </c>
      <c r="C12" s="159">
        <v>16300000</v>
      </c>
      <c r="D12" s="184"/>
      <c r="E12" s="457"/>
      <c r="F12" s="458"/>
      <c r="G12" s="459"/>
      <c r="H12" s="185">
        <f t="shared" si="2"/>
        <v>16300000</v>
      </c>
      <c r="I12" s="186">
        <f>MARZO!I12+MARZO!J12</f>
        <v>4181100</v>
      </c>
      <c r="J12" s="186">
        <v>806037</v>
      </c>
      <c r="K12" s="187">
        <f t="shared" si="7"/>
        <v>0.30595932515337421</v>
      </c>
      <c r="L12" s="188">
        <f t="shared" si="3"/>
        <v>4987137</v>
      </c>
      <c r="M12" s="321">
        <f t="shared" si="8"/>
        <v>4987137</v>
      </c>
      <c r="N12" s="189">
        <f t="shared" si="4"/>
        <v>11312863</v>
      </c>
      <c r="O12" s="190">
        <f t="shared" si="1"/>
        <v>0.69404067484662579</v>
      </c>
      <c r="P12" s="432">
        <f t="shared" si="9"/>
        <v>4987137</v>
      </c>
      <c r="Q12" s="432">
        <f t="shared" si="5"/>
        <v>0</v>
      </c>
      <c r="R12" s="432">
        <f t="shared" si="6"/>
        <v>0</v>
      </c>
    </row>
    <row r="13" spans="1:18" ht="15" x14ac:dyDescent="0.25">
      <c r="A13" s="496" t="s">
        <v>213</v>
      </c>
      <c r="B13" s="182" t="s">
        <v>17</v>
      </c>
      <c r="C13" s="159">
        <v>24000000</v>
      </c>
      <c r="D13" s="184"/>
      <c r="E13" s="457"/>
      <c r="F13" s="458"/>
      <c r="G13" s="459"/>
      <c r="H13" s="185">
        <f t="shared" si="2"/>
        <v>24000000</v>
      </c>
      <c r="I13" s="186">
        <f>MARZO!I13+MARZO!J13</f>
        <v>0</v>
      </c>
      <c r="J13" s="186">
        <v>1169522</v>
      </c>
      <c r="K13" s="187">
        <f>L13/H13</f>
        <v>4.8730083333333334E-2</v>
      </c>
      <c r="L13" s="188">
        <f t="shared" si="3"/>
        <v>1169522</v>
      </c>
      <c r="M13" s="321">
        <f t="shared" si="8"/>
        <v>1169522</v>
      </c>
      <c r="N13" s="189">
        <f t="shared" si="4"/>
        <v>22830478</v>
      </c>
      <c r="O13" s="190">
        <f t="shared" si="1"/>
        <v>0.95126991666666671</v>
      </c>
      <c r="P13" s="432">
        <f t="shared" si="9"/>
        <v>1169522</v>
      </c>
      <c r="Q13" s="432">
        <f t="shared" si="5"/>
        <v>0</v>
      </c>
      <c r="R13" s="432">
        <f t="shared" si="6"/>
        <v>0</v>
      </c>
    </row>
    <row r="14" spans="1:18" ht="15" x14ac:dyDescent="0.25">
      <c r="A14" s="496" t="s">
        <v>214</v>
      </c>
      <c r="B14" s="182" t="s">
        <v>19</v>
      </c>
      <c r="C14" s="159">
        <v>24787000</v>
      </c>
      <c r="D14" s="184"/>
      <c r="E14" s="457"/>
      <c r="F14" s="458"/>
      <c r="G14" s="459"/>
      <c r="H14" s="185">
        <f t="shared" si="2"/>
        <v>24787000</v>
      </c>
      <c r="I14" s="186">
        <f>MARZO!I14+MARZO!J14</f>
        <v>0</v>
      </c>
      <c r="J14" s="186">
        <v>1227342</v>
      </c>
      <c r="K14" s="187">
        <f t="shared" si="7"/>
        <v>4.9515552507362733E-2</v>
      </c>
      <c r="L14" s="188">
        <f t="shared" si="3"/>
        <v>1227342</v>
      </c>
      <c r="M14" s="321">
        <f t="shared" si="8"/>
        <v>1227342</v>
      </c>
      <c r="N14" s="189">
        <f t="shared" si="4"/>
        <v>23559658</v>
      </c>
      <c r="O14" s="190">
        <f t="shared" si="1"/>
        <v>0.95048444749263727</v>
      </c>
      <c r="P14" s="432">
        <f t="shared" si="9"/>
        <v>1227342</v>
      </c>
      <c r="Q14" s="432">
        <f t="shared" si="5"/>
        <v>0</v>
      </c>
      <c r="R14" s="432">
        <f t="shared" si="6"/>
        <v>0</v>
      </c>
    </row>
    <row r="15" spans="1:18" ht="15" x14ac:dyDescent="0.25">
      <c r="A15" s="496" t="s">
        <v>215</v>
      </c>
      <c r="B15" s="182" t="s">
        <v>292</v>
      </c>
      <c r="C15" s="159">
        <v>55000000</v>
      </c>
      <c r="D15" s="184"/>
      <c r="E15" s="457"/>
      <c r="F15" s="458"/>
      <c r="G15" s="459"/>
      <c r="H15" s="185">
        <f t="shared" si="2"/>
        <v>55000000</v>
      </c>
      <c r="I15" s="186">
        <f>MARZO!I15+MARZO!J15</f>
        <v>0</v>
      </c>
      <c r="J15" s="186">
        <v>939517</v>
      </c>
      <c r="K15" s="187">
        <f t="shared" si="7"/>
        <v>1.7082127272727274E-2</v>
      </c>
      <c r="L15" s="188">
        <f t="shared" si="3"/>
        <v>939517</v>
      </c>
      <c r="M15" s="321">
        <f t="shared" si="8"/>
        <v>939517</v>
      </c>
      <c r="N15" s="189">
        <f t="shared" si="4"/>
        <v>54060483</v>
      </c>
      <c r="O15" s="190">
        <f t="shared" si="1"/>
        <v>0.98291787272727271</v>
      </c>
      <c r="P15" s="432">
        <f t="shared" si="9"/>
        <v>939517</v>
      </c>
      <c r="Q15" s="432">
        <f t="shared" si="5"/>
        <v>0</v>
      </c>
      <c r="R15" s="432">
        <f t="shared" si="6"/>
        <v>0</v>
      </c>
    </row>
    <row r="16" spans="1:18" ht="15" x14ac:dyDescent="0.25">
      <c r="A16" s="496" t="s">
        <v>216</v>
      </c>
      <c r="B16" s="182" t="s">
        <v>20</v>
      </c>
      <c r="C16" s="159">
        <v>41330000</v>
      </c>
      <c r="D16" s="184"/>
      <c r="E16" s="457"/>
      <c r="F16" s="458"/>
      <c r="G16" s="459"/>
      <c r="H16" s="185">
        <f t="shared" si="2"/>
        <v>41330000</v>
      </c>
      <c r="I16" s="186">
        <f>MARZO!I16+MARZO!J16</f>
        <v>0</v>
      </c>
      <c r="J16" s="186">
        <v>1949190</v>
      </c>
      <c r="K16" s="187">
        <f t="shared" si="7"/>
        <v>4.7161625937575613E-2</v>
      </c>
      <c r="L16" s="188">
        <f t="shared" si="3"/>
        <v>1949190</v>
      </c>
      <c r="M16" s="321">
        <f t="shared" si="8"/>
        <v>1949190</v>
      </c>
      <c r="N16" s="189">
        <f t="shared" si="4"/>
        <v>39380810</v>
      </c>
      <c r="O16" s="190">
        <f t="shared" si="1"/>
        <v>0.95283837406242444</v>
      </c>
      <c r="P16" s="432">
        <f>L16</f>
        <v>1949190</v>
      </c>
      <c r="Q16" s="432">
        <f t="shared" si="5"/>
        <v>0</v>
      </c>
      <c r="R16" s="432">
        <f t="shared" si="6"/>
        <v>0</v>
      </c>
    </row>
    <row r="17" spans="1:18" s="192" customFormat="1" ht="27.75" customHeight="1" x14ac:dyDescent="0.2">
      <c r="A17" s="497">
        <v>20210102</v>
      </c>
      <c r="B17" s="175" t="s">
        <v>130</v>
      </c>
      <c r="C17" s="176">
        <f t="shared" ref="C17:H17" si="10">SUM(C18:C20)</f>
        <v>77000000</v>
      </c>
      <c r="D17" s="176">
        <f t="shared" si="10"/>
        <v>0</v>
      </c>
      <c r="E17" s="176">
        <f t="shared" si="10"/>
        <v>0</v>
      </c>
      <c r="F17" s="176">
        <f t="shared" si="10"/>
        <v>40000000</v>
      </c>
      <c r="G17" s="176">
        <f t="shared" si="10"/>
        <v>0</v>
      </c>
      <c r="H17" s="176">
        <f t="shared" si="10"/>
        <v>117000000</v>
      </c>
      <c r="I17" s="176">
        <f>SUM(I18:I20)</f>
        <v>60400000</v>
      </c>
      <c r="J17" s="176">
        <f>SUM(J18:J20)</f>
        <v>9000000</v>
      </c>
      <c r="K17" s="177">
        <f>L17/H17</f>
        <v>0.59316239316239316</v>
      </c>
      <c r="L17" s="191">
        <f>SUM(L18:L20)</f>
        <v>69400000</v>
      </c>
      <c r="M17" s="191">
        <f>SUM(M18:M20)</f>
        <v>69400000</v>
      </c>
      <c r="N17" s="191">
        <f>SUM(N18:N20)</f>
        <v>47600000</v>
      </c>
      <c r="O17" s="179">
        <f t="shared" si="1"/>
        <v>0.40683760683760684</v>
      </c>
      <c r="P17" s="176">
        <f>SUM(P18:P20)</f>
        <v>17600000</v>
      </c>
      <c r="Q17" s="176">
        <f>SUM(Q18:Q20)</f>
        <v>51800000</v>
      </c>
      <c r="R17" s="176">
        <f>SUM(R18:R20)</f>
        <v>0</v>
      </c>
    </row>
    <row r="18" spans="1:18" ht="15" x14ac:dyDescent="0.25">
      <c r="A18" s="496" t="s">
        <v>217</v>
      </c>
      <c r="B18" s="193" t="s">
        <v>25</v>
      </c>
      <c r="C18" s="159">
        <v>60000000</v>
      </c>
      <c r="D18" s="186"/>
      <c r="E18" s="457"/>
      <c r="F18" s="458">
        <v>20000000</v>
      </c>
      <c r="G18" s="459"/>
      <c r="H18" s="185">
        <f>C18-D18+E18+F18-G18</f>
        <v>80000000</v>
      </c>
      <c r="I18" s="186">
        <f>MARZO!I18+MARZO!J18</f>
        <v>48200000</v>
      </c>
      <c r="J18" s="186">
        <v>0</v>
      </c>
      <c r="K18" s="187">
        <f>L18/H18</f>
        <v>0.60250000000000004</v>
      </c>
      <c r="L18" s="188">
        <f>J18+I18</f>
        <v>48200000</v>
      </c>
      <c r="M18" s="321">
        <f>I18+J18</f>
        <v>48200000</v>
      </c>
      <c r="N18" s="189">
        <f>H18-L18</f>
        <v>31800000</v>
      </c>
      <c r="O18" s="190">
        <f t="shared" si="1"/>
        <v>0.39750000000000002</v>
      </c>
      <c r="P18" s="615">
        <f>3400000+2000000</f>
        <v>5400000</v>
      </c>
      <c r="Q18" s="432">
        <f>M18-P18</f>
        <v>42800000</v>
      </c>
      <c r="R18" s="432">
        <f>L18-M18</f>
        <v>0</v>
      </c>
    </row>
    <row r="19" spans="1:18" ht="15" x14ac:dyDescent="0.25">
      <c r="A19" s="496" t="s">
        <v>218</v>
      </c>
      <c r="B19" s="182" t="s">
        <v>27</v>
      </c>
      <c r="C19" s="159">
        <v>17000000</v>
      </c>
      <c r="D19" s="186"/>
      <c r="E19" s="457"/>
      <c r="F19" s="458">
        <v>20000000</v>
      </c>
      <c r="G19" s="459"/>
      <c r="H19" s="185">
        <f>C19-D19+E19+F19-G19</f>
        <v>37000000</v>
      </c>
      <c r="I19" s="186">
        <f>MARZO!I19+MARZO!J19</f>
        <v>12200000</v>
      </c>
      <c r="J19" s="186">
        <v>9000000</v>
      </c>
      <c r="K19" s="187">
        <f>L19/H19</f>
        <v>0.572972972972973</v>
      </c>
      <c r="L19" s="188">
        <f>J19+I19</f>
        <v>21200000</v>
      </c>
      <c r="M19" s="321">
        <f>I19+J19</f>
        <v>21200000</v>
      </c>
      <c r="N19" s="189">
        <f>H19-L19</f>
        <v>15800000</v>
      </c>
      <c r="O19" s="190">
        <v>0</v>
      </c>
      <c r="P19" s="615">
        <f>6100000+6100000</f>
        <v>12200000</v>
      </c>
      <c r="Q19" s="432">
        <f>M19-P19</f>
        <v>9000000</v>
      </c>
      <c r="R19" s="432">
        <f>L19-M19</f>
        <v>0</v>
      </c>
    </row>
    <row r="20" spans="1:18" ht="15" x14ac:dyDescent="0.25">
      <c r="A20" s="181">
        <v>2021010203</v>
      </c>
      <c r="B20" s="194" t="s">
        <v>29</v>
      </c>
      <c r="C20" s="183">
        <f>'PAC INICIAL 2021'!C35</f>
        <v>0</v>
      </c>
      <c r="D20" s="186"/>
      <c r="E20" s="457"/>
      <c r="F20" s="458"/>
      <c r="G20" s="459"/>
      <c r="H20" s="185">
        <f>C20-D20+E20+F20-G20</f>
        <v>0</v>
      </c>
      <c r="I20" s="186">
        <f>MARZO!I20+MARZO!J20</f>
        <v>0</v>
      </c>
      <c r="J20" s="186">
        <v>0</v>
      </c>
      <c r="K20" s="187">
        <v>0</v>
      </c>
      <c r="L20" s="188">
        <f>J20+I20</f>
        <v>0</v>
      </c>
      <c r="M20" s="321">
        <f>I20+J20</f>
        <v>0</v>
      </c>
      <c r="N20" s="189">
        <f>H20-L20</f>
        <v>0</v>
      </c>
      <c r="O20" s="190">
        <v>0</v>
      </c>
      <c r="P20" s="615">
        <v>0</v>
      </c>
      <c r="Q20" s="432">
        <f>M20-P20</f>
        <v>0</v>
      </c>
      <c r="R20" s="432">
        <f>L20-M20</f>
        <v>0</v>
      </c>
    </row>
    <row r="21" spans="1:18" ht="30" x14ac:dyDescent="0.2">
      <c r="A21" s="497">
        <v>20210103</v>
      </c>
      <c r="B21" s="200" t="s">
        <v>69</v>
      </c>
      <c r="C21" s="201">
        <f t="shared" ref="C21:I21" si="11">SUM(C22:C25)</f>
        <v>73229741</v>
      </c>
      <c r="D21" s="201">
        <f t="shared" si="11"/>
        <v>0</v>
      </c>
      <c r="E21" s="201">
        <f t="shared" si="11"/>
        <v>0</v>
      </c>
      <c r="F21" s="201">
        <f t="shared" si="11"/>
        <v>0</v>
      </c>
      <c r="G21" s="201">
        <f t="shared" si="11"/>
        <v>0</v>
      </c>
      <c r="H21" s="201">
        <f t="shared" si="11"/>
        <v>73229741</v>
      </c>
      <c r="I21" s="201">
        <f t="shared" si="11"/>
        <v>14168107</v>
      </c>
      <c r="J21" s="201">
        <f>SUM(J22:J25)</f>
        <v>5944853</v>
      </c>
      <c r="K21" s="177">
        <f>L21/H21</f>
        <v>0.2746556211362266</v>
      </c>
      <c r="L21" s="438">
        <f>SUM(L22:L25)</f>
        <v>20112960</v>
      </c>
      <c r="M21" s="438">
        <f>SUM(M22:M25)</f>
        <v>20112960</v>
      </c>
      <c r="N21" s="438">
        <f>SUM(N22:N25)</f>
        <v>53116781</v>
      </c>
      <c r="O21" s="179">
        <f t="shared" ref="O21:O27" si="12">N21/H21</f>
        <v>0.72534437886377334</v>
      </c>
      <c r="P21" s="176">
        <f>SUM(P22:P25)</f>
        <v>20112960</v>
      </c>
      <c r="Q21" s="176">
        <f>SUM(Q22:Q25)</f>
        <v>0</v>
      </c>
      <c r="R21" s="176">
        <f>SUM(R22:R25)</f>
        <v>0</v>
      </c>
    </row>
    <row r="22" spans="1:18" ht="15" x14ac:dyDescent="0.25">
      <c r="A22" s="496" t="s">
        <v>220</v>
      </c>
      <c r="B22" s="194" t="s">
        <v>71</v>
      </c>
      <c r="C22" s="159">
        <v>6000083</v>
      </c>
      <c r="D22" s="184"/>
      <c r="E22" s="457"/>
      <c r="F22" s="458"/>
      <c r="G22" s="459"/>
      <c r="H22" s="185">
        <f>C22-D22+E22+F22-G22</f>
        <v>6000083</v>
      </c>
      <c r="I22" s="186">
        <f>MARZO!I22+MARZO!J22</f>
        <v>0</v>
      </c>
      <c r="J22" s="186">
        <v>959897</v>
      </c>
      <c r="K22" s="187">
        <f t="shared" ref="K22:K27" si="13">L22/H22</f>
        <v>0.15998062026808629</v>
      </c>
      <c r="L22" s="188">
        <f>J22+I22</f>
        <v>959897</v>
      </c>
      <c r="M22" s="321">
        <f>I22+J22</f>
        <v>959897</v>
      </c>
      <c r="N22" s="189">
        <f>H22-L22</f>
        <v>5040186</v>
      </c>
      <c r="O22" s="190">
        <f t="shared" si="12"/>
        <v>0.84001937973191376</v>
      </c>
      <c r="P22" s="432">
        <f>M22</f>
        <v>959897</v>
      </c>
      <c r="Q22" s="432">
        <f>M22-P22</f>
        <v>0</v>
      </c>
      <c r="R22" s="432">
        <f>L22-M22</f>
        <v>0</v>
      </c>
    </row>
    <row r="23" spans="1:18" ht="15" x14ac:dyDescent="0.25">
      <c r="A23" s="496" t="s">
        <v>219</v>
      </c>
      <c r="B23" s="194" t="s">
        <v>73</v>
      </c>
      <c r="C23" s="159">
        <v>46429658</v>
      </c>
      <c r="D23" s="184"/>
      <c r="E23" s="457"/>
      <c r="F23" s="458"/>
      <c r="G23" s="459"/>
      <c r="H23" s="185">
        <f>C23-D23+E23+F23-G23</f>
        <v>46429658</v>
      </c>
      <c r="I23" s="186">
        <f>MARZO!I23+MARZO!J23</f>
        <v>12073242</v>
      </c>
      <c r="J23" s="186">
        <v>4079082</v>
      </c>
      <c r="K23" s="187">
        <f t="shared" si="13"/>
        <v>0.34788806757956303</v>
      </c>
      <c r="L23" s="188">
        <f>J23+I23</f>
        <v>16152324</v>
      </c>
      <c r="M23" s="321">
        <f>I23+J23</f>
        <v>16152324</v>
      </c>
      <c r="N23" s="189">
        <f>H23-L23</f>
        <v>30277334</v>
      </c>
      <c r="O23" s="190">
        <f t="shared" si="12"/>
        <v>0.65211193242043697</v>
      </c>
      <c r="P23" s="432">
        <f>L23</f>
        <v>16152324</v>
      </c>
      <c r="Q23" s="432">
        <f>M23-P23</f>
        <v>0</v>
      </c>
      <c r="R23" s="432">
        <f>L23-M23</f>
        <v>0</v>
      </c>
    </row>
    <row r="24" spans="1:18" ht="15.75" x14ac:dyDescent="0.25">
      <c r="A24" s="496" t="s">
        <v>221</v>
      </c>
      <c r="B24" s="194" t="s">
        <v>74</v>
      </c>
      <c r="C24" s="159">
        <v>14000000</v>
      </c>
      <c r="D24" s="184"/>
      <c r="E24" s="457"/>
      <c r="F24" s="458"/>
      <c r="G24" s="459"/>
      <c r="H24" s="185">
        <f>C24-D24+E24+F24-G24</f>
        <v>14000000</v>
      </c>
      <c r="I24" s="186">
        <f>MARZO!I24+MARZO!J24</f>
        <v>2094865</v>
      </c>
      <c r="J24" s="362">
        <v>790686</v>
      </c>
      <c r="K24" s="187">
        <f t="shared" si="13"/>
        <v>0.2061107857142857</v>
      </c>
      <c r="L24" s="188">
        <f>J24+I24</f>
        <v>2885551</v>
      </c>
      <c r="M24" s="321">
        <f>I24+J24</f>
        <v>2885551</v>
      </c>
      <c r="N24" s="189">
        <f>H24-L24</f>
        <v>11114449</v>
      </c>
      <c r="O24" s="190">
        <f t="shared" si="12"/>
        <v>0.79388921428571424</v>
      </c>
      <c r="P24" s="432">
        <f>L24</f>
        <v>2885551</v>
      </c>
      <c r="Q24" s="432">
        <f>M24-P24</f>
        <v>0</v>
      </c>
      <c r="R24" s="432">
        <f>L24-M24</f>
        <v>0</v>
      </c>
    </row>
    <row r="25" spans="1:18" ht="15" x14ac:dyDescent="0.25">
      <c r="A25" s="496" t="s">
        <v>222</v>
      </c>
      <c r="B25" s="194" t="s">
        <v>75</v>
      </c>
      <c r="C25" s="159">
        <v>6800000</v>
      </c>
      <c r="D25" s="202"/>
      <c r="E25" s="457"/>
      <c r="F25" s="458"/>
      <c r="G25" s="459"/>
      <c r="H25" s="185">
        <f>C25-D25+E25+F25-G25</f>
        <v>6800000</v>
      </c>
      <c r="I25" s="186">
        <f>MARZO!I25+MARZO!J25</f>
        <v>0</v>
      </c>
      <c r="J25" s="186">
        <v>115188</v>
      </c>
      <c r="K25" s="187">
        <f t="shared" si="13"/>
        <v>1.6939411764705883E-2</v>
      </c>
      <c r="L25" s="188">
        <f>J25+I25</f>
        <v>115188</v>
      </c>
      <c r="M25" s="321">
        <f>I25+J25</f>
        <v>115188</v>
      </c>
      <c r="N25" s="189">
        <f>H25-L25</f>
        <v>6684812</v>
      </c>
      <c r="O25" s="190">
        <f t="shared" si="12"/>
        <v>0.98306058823529407</v>
      </c>
      <c r="P25" s="432">
        <f>L25</f>
        <v>115188</v>
      </c>
      <c r="Q25" s="432">
        <f>M25-P25</f>
        <v>0</v>
      </c>
      <c r="R25" s="432">
        <f>L25-M25</f>
        <v>0</v>
      </c>
    </row>
    <row r="26" spans="1:18" ht="35.25" customHeight="1" x14ac:dyDescent="0.2">
      <c r="A26" s="497">
        <v>20210104</v>
      </c>
      <c r="B26" s="200" t="s">
        <v>76</v>
      </c>
      <c r="C26" s="201">
        <f t="shared" ref="C26:J26" si="14">SUM(C27:C36)</f>
        <v>133100000</v>
      </c>
      <c r="D26" s="201">
        <f t="shared" si="14"/>
        <v>0</v>
      </c>
      <c r="E26" s="201">
        <f t="shared" si="14"/>
        <v>0</v>
      </c>
      <c r="F26" s="201">
        <f t="shared" si="14"/>
        <v>3000000</v>
      </c>
      <c r="G26" s="201">
        <f t="shared" si="14"/>
        <v>0</v>
      </c>
      <c r="H26" s="201">
        <f t="shared" si="14"/>
        <v>136100000</v>
      </c>
      <c r="I26" s="176">
        <f t="shared" si="14"/>
        <v>40791192</v>
      </c>
      <c r="J26" s="176">
        <f t="shared" si="14"/>
        <v>9529237</v>
      </c>
      <c r="K26" s="177">
        <f t="shared" si="13"/>
        <v>0.3697312931667891</v>
      </c>
      <c r="L26" s="178">
        <f>SUM(L27:L36)</f>
        <v>50320429</v>
      </c>
      <c r="M26" s="191">
        <f>SUM(M27:M36)</f>
        <v>50320429</v>
      </c>
      <c r="N26" s="191">
        <f>SUM(N27:N36)</f>
        <v>85779571</v>
      </c>
      <c r="O26" s="179">
        <f t="shared" si="12"/>
        <v>0.6302687068332109</v>
      </c>
      <c r="P26" s="176">
        <f>SUM(P27:P36)</f>
        <v>50320429</v>
      </c>
      <c r="Q26" s="176">
        <f>SUM(Q27:Q36)</f>
        <v>0</v>
      </c>
      <c r="R26" s="176">
        <f>SUM(R27:R42)</f>
        <v>0</v>
      </c>
    </row>
    <row r="27" spans="1:18" ht="15" x14ac:dyDescent="0.25">
      <c r="A27" s="496" t="s">
        <v>223</v>
      </c>
      <c r="B27" s="194" t="s">
        <v>78</v>
      </c>
      <c r="C27" s="159">
        <v>12000000</v>
      </c>
      <c r="D27" s="184"/>
      <c r="E27" s="457"/>
      <c r="F27" s="458">
        <v>3000000</v>
      </c>
      <c r="G27" s="459"/>
      <c r="H27" s="185">
        <f t="shared" ref="H27:H36" si="15">C27-D27+E27+F27-G27</f>
        <v>15000000</v>
      </c>
      <c r="I27" s="186">
        <f>MARZO!I27+MARZO!J27</f>
        <v>12343990</v>
      </c>
      <c r="J27" s="186">
        <v>0</v>
      </c>
      <c r="K27" s="187">
        <f t="shared" si="13"/>
        <v>0.82293266666666665</v>
      </c>
      <c r="L27" s="188">
        <f t="shared" ref="L27:L36" si="16">J27+I27</f>
        <v>12343990</v>
      </c>
      <c r="M27" s="321">
        <f>I27+J27</f>
        <v>12343990</v>
      </c>
      <c r="N27" s="189">
        <f t="shared" ref="N27:N36" si="17">H27-L27</f>
        <v>2656010</v>
      </c>
      <c r="O27" s="190">
        <f t="shared" si="12"/>
        <v>0.17706733333333333</v>
      </c>
      <c r="P27" s="188">
        <f>L27-J27</f>
        <v>12343990</v>
      </c>
      <c r="Q27" s="432">
        <f t="shared" ref="Q27:Q36" si="18">M27-P27</f>
        <v>0</v>
      </c>
      <c r="R27" s="432">
        <f t="shared" ref="R27:R42" si="19">L27-M27</f>
        <v>0</v>
      </c>
    </row>
    <row r="28" spans="1:18" ht="15" x14ac:dyDescent="0.25">
      <c r="A28" s="181">
        <v>2021010402</v>
      </c>
      <c r="B28" s="194" t="s">
        <v>73</v>
      </c>
      <c r="C28" s="159">
        <v>0</v>
      </c>
      <c r="D28" s="184"/>
      <c r="E28" s="457"/>
      <c r="F28" s="458"/>
      <c r="G28" s="459"/>
      <c r="H28" s="185">
        <f t="shared" si="15"/>
        <v>0</v>
      </c>
      <c r="I28" s="186">
        <f>MARZO!I28+MARZO!J28</f>
        <v>0</v>
      </c>
      <c r="J28" s="186">
        <v>0</v>
      </c>
      <c r="K28" s="187">
        <v>0</v>
      </c>
      <c r="L28" s="196">
        <f t="shared" si="16"/>
        <v>0</v>
      </c>
      <c r="M28" s="321">
        <f t="shared" ref="M28:M36" si="20">I28+J28</f>
        <v>0</v>
      </c>
      <c r="N28" s="189">
        <f t="shared" si="17"/>
        <v>0</v>
      </c>
      <c r="O28" s="190">
        <v>0</v>
      </c>
      <c r="P28" s="188">
        <f t="shared" ref="P28:P36" si="21">L28</f>
        <v>0</v>
      </c>
      <c r="Q28" s="432">
        <f t="shared" si="18"/>
        <v>0</v>
      </c>
      <c r="R28" s="432">
        <f t="shared" si="19"/>
        <v>0</v>
      </c>
    </row>
    <row r="29" spans="1:18" ht="15" x14ac:dyDescent="0.25">
      <c r="A29" s="496" t="s">
        <v>224</v>
      </c>
      <c r="B29" s="194" t="s">
        <v>81</v>
      </c>
      <c r="C29" s="159">
        <v>3900000</v>
      </c>
      <c r="D29" s="184"/>
      <c r="E29" s="457"/>
      <c r="F29" s="458"/>
      <c r="G29" s="459"/>
      <c r="H29" s="185">
        <f t="shared" si="15"/>
        <v>3900000</v>
      </c>
      <c r="I29" s="186">
        <f>MARZO!I29+MARZO!J29</f>
        <v>687700</v>
      </c>
      <c r="J29" s="186">
        <v>250500</v>
      </c>
      <c r="K29" s="187">
        <f t="shared" ref="K29:K35" si="22">L29/H29</f>
        <v>0.24056410256410257</v>
      </c>
      <c r="L29" s="188">
        <f t="shared" si="16"/>
        <v>938200</v>
      </c>
      <c r="M29" s="321">
        <f t="shared" si="20"/>
        <v>938200</v>
      </c>
      <c r="N29" s="189">
        <f t="shared" si="17"/>
        <v>2961800</v>
      </c>
      <c r="O29" s="190">
        <f t="shared" ref="O29:O35" si="23">N29/H29</f>
        <v>0.75943589743589746</v>
      </c>
      <c r="P29" s="188">
        <f>L29</f>
        <v>938200</v>
      </c>
      <c r="Q29" s="432">
        <f t="shared" si="18"/>
        <v>0</v>
      </c>
      <c r="R29" s="432">
        <f t="shared" si="19"/>
        <v>0</v>
      </c>
    </row>
    <row r="30" spans="1:18" ht="15" x14ac:dyDescent="0.25">
      <c r="A30" s="496" t="s">
        <v>225</v>
      </c>
      <c r="B30" s="194" t="s">
        <v>74</v>
      </c>
      <c r="C30" s="159">
        <v>52000000</v>
      </c>
      <c r="D30" s="184"/>
      <c r="E30" s="457"/>
      <c r="F30" s="458"/>
      <c r="G30" s="459"/>
      <c r="H30" s="185">
        <f t="shared" si="15"/>
        <v>52000000</v>
      </c>
      <c r="I30" s="186">
        <f>MARZO!I30+MARZO!J30</f>
        <v>14925102</v>
      </c>
      <c r="J30" s="186">
        <v>4965237</v>
      </c>
      <c r="K30" s="187">
        <f t="shared" si="22"/>
        <v>0.38250651923076923</v>
      </c>
      <c r="L30" s="188">
        <f t="shared" si="16"/>
        <v>19890339</v>
      </c>
      <c r="M30" s="321">
        <f t="shared" si="20"/>
        <v>19890339</v>
      </c>
      <c r="N30" s="189">
        <f t="shared" si="17"/>
        <v>32109661</v>
      </c>
      <c r="O30" s="190">
        <f t="shared" si="23"/>
        <v>0.61749348076923072</v>
      </c>
      <c r="P30" s="188">
        <f>L30</f>
        <v>19890339</v>
      </c>
      <c r="Q30" s="432">
        <f t="shared" si="18"/>
        <v>0</v>
      </c>
      <c r="R30" s="432">
        <f t="shared" si="19"/>
        <v>0</v>
      </c>
    </row>
    <row r="31" spans="1:18" ht="15" x14ac:dyDescent="0.25">
      <c r="A31" s="496" t="s">
        <v>226</v>
      </c>
      <c r="B31" s="194" t="s">
        <v>84</v>
      </c>
      <c r="C31" s="159">
        <v>27000000</v>
      </c>
      <c r="D31" s="184"/>
      <c r="E31" s="457"/>
      <c r="F31" s="458"/>
      <c r="G31" s="459"/>
      <c r="H31" s="185">
        <f t="shared" si="15"/>
        <v>27000000</v>
      </c>
      <c r="I31" s="186">
        <f>MARZO!I31+MARZO!J31</f>
        <v>5702600</v>
      </c>
      <c r="J31" s="209">
        <v>1916500</v>
      </c>
      <c r="K31" s="187">
        <f t="shared" si="22"/>
        <v>0.28218888888888888</v>
      </c>
      <c r="L31" s="188">
        <f t="shared" si="16"/>
        <v>7619100</v>
      </c>
      <c r="M31" s="321">
        <f t="shared" si="20"/>
        <v>7619100</v>
      </c>
      <c r="N31" s="189">
        <f t="shared" si="17"/>
        <v>19380900</v>
      </c>
      <c r="O31" s="190">
        <f t="shared" si="23"/>
        <v>0.71781111111111107</v>
      </c>
      <c r="P31" s="188">
        <f t="shared" si="21"/>
        <v>7619100</v>
      </c>
      <c r="Q31" s="432">
        <f t="shared" si="18"/>
        <v>0</v>
      </c>
      <c r="R31" s="432">
        <f t="shared" si="19"/>
        <v>0</v>
      </c>
    </row>
    <row r="32" spans="1:18" ht="15" x14ac:dyDescent="0.25">
      <c r="A32" s="496" t="s">
        <v>227</v>
      </c>
      <c r="B32" s="194" t="s">
        <v>86</v>
      </c>
      <c r="C32" s="159">
        <v>23000000</v>
      </c>
      <c r="D32" s="184"/>
      <c r="E32" s="457"/>
      <c r="F32" s="458"/>
      <c r="G32" s="459"/>
      <c r="H32" s="185">
        <f t="shared" si="15"/>
        <v>23000000</v>
      </c>
      <c r="I32" s="186">
        <f>MARZO!I32+MARZO!J32</f>
        <v>4276800</v>
      </c>
      <c r="J32" s="186">
        <v>1437400</v>
      </c>
      <c r="K32" s="187">
        <f t="shared" si="22"/>
        <v>0.24844347826086957</v>
      </c>
      <c r="L32" s="188">
        <f t="shared" si="16"/>
        <v>5714200</v>
      </c>
      <c r="M32" s="321">
        <f t="shared" si="20"/>
        <v>5714200</v>
      </c>
      <c r="N32" s="189">
        <f t="shared" si="17"/>
        <v>17285800</v>
      </c>
      <c r="O32" s="190">
        <f t="shared" si="23"/>
        <v>0.75155652173913046</v>
      </c>
      <c r="P32" s="188">
        <f>L32</f>
        <v>5714200</v>
      </c>
      <c r="Q32" s="432">
        <f t="shared" si="18"/>
        <v>0</v>
      </c>
      <c r="R32" s="432">
        <f t="shared" si="19"/>
        <v>0</v>
      </c>
    </row>
    <row r="33" spans="1:18" ht="15" x14ac:dyDescent="0.25">
      <c r="A33" s="496" t="s">
        <v>228</v>
      </c>
      <c r="B33" s="194" t="s">
        <v>88</v>
      </c>
      <c r="C33" s="159">
        <v>4000000</v>
      </c>
      <c r="D33" s="184"/>
      <c r="E33" s="457"/>
      <c r="F33" s="458"/>
      <c r="G33" s="459"/>
      <c r="H33" s="185">
        <f t="shared" si="15"/>
        <v>4000000</v>
      </c>
      <c r="I33" s="186">
        <f>MARZO!I33+MARZO!J33</f>
        <v>714100</v>
      </c>
      <c r="J33" s="186">
        <v>240000</v>
      </c>
      <c r="K33" s="187">
        <f t="shared" si="22"/>
        <v>0.23852499999999999</v>
      </c>
      <c r="L33" s="188">
        <f t="shared" si="16"/>
        <v>954100</v>
      </c>
      <c r="M33" s="321">
        <f t="shared" si="20"/>
        <v>954100</v>
      </c>
      <c r="N33" s="189">
        <f t="shared" si="17"/>
        <v>3045900</v>
      </c>
      <c r="O33" s="190">
        <f t="shared" si="23"/>
        <v>0.76147500000000001</v>
      </c>
      <c r="P33" s="188">
        <f t="shared" si="21"/>
        <v>954100</v>
      </c>
      <c r="Q33" s="432">
        <f t="shared" si="18"/>
        <v>0</v>
      </c>
      <c r="R33" s="432">
        <f t="shared" si="19"/>
        <v>0</v>
      </c>
    </row>
    <row r="34" spans="1:18" ht="15" x14ac:dyDescent="0.25">
      <c r="A34" s="496" t="s">
        <v>229</v>
      </c>
      <c r="B34" s="194" t="s">
        <v>90</v>
      </c>
      <c r="C34" s="159">
        <v>4000000</v>
      </c>
      <c r="D34" s="184"/>
      <c r="E34" s="457"/>
      <c r="F34" s="458"/>
      <c r="G34" s="459"/>
      <c r="H34" s="185">
        <f t="shared" si="15"/>
        <v>4000000</v>
      </c>
      <c r="I34" s="186">
        <f>MARZO!I34+MARZO!J34</f>
        <v>714100</v>
      </c>
      <c r="J34" s="186">
        <v>240000</v>
      </c>
      <c r="K34" s="187">
        <f t="shared" si="22"/>
        <v>0.23852499999999999</v>
      </c>
      <c r="L34" s="188">
        <f t="shared" si="16"/>
        <v>954100</v>
      </c>
      <c r="M34" s="321">
        <f t="shared" si="20"/>
        <v>954100</v>
      </c>
      <c r="N34" s="189">
        <f t="shared" si="17"/>
        <v>3045900</v>
      </c>
      <c r="O34" s="190">
        <f t="shared" si="23"/>
        <v>0.76147500000000001</v>
      </c>
      <c r="P34" s="188">
        <f t="shared" si="21"/>
        <v>954100</v>
      </c>
      <c r="Q34" s="432">
        <f t="shared" si="18"/>
        <v>0</v>
      </c>
      <c r="R34" s="432">
        <f t="shared" si="19"/>
        <v>0</v>
      </c>
    </row>
    <row r="35" spans="1:18" ht="15" x14ac:dyDescent="0.25">
      <c r="A35" s="496" t="s">
        <v>230</v>
      </c>
      <c r="B35" s="194" t="s">
        <v>92</v>
      </c>
      <c r="C35" s="159">
        <v>7200000</v>
      </c>
      <c r="D35" s="184"/>
      <c r="E35" s="457"/>
      <c r="F35" s="458"/>
      <c r="G35" s="459"/>
      <c r="H35" s="185">
        <f t="shared" si="15"/>
        <v>7200000</v>
      </c>
      <c r="I35" s="186">
        <f>MARZO!I35+MARZO!J35</f>
        <v>1426800</v>
      </c>
      <c r="J35" s="186">
        <v>479600</v>
      </c>
      <c r="K35" s="187">
        <f t="shared" si="22"/>
        <v>0.26477777777777778</v>
      </c>
      <c r="L35" s="188">
        <f t="shared" si="16"/>
        <v>1906400</v>
      </c>
      <c r="M35" s="321">
        <f t="shared" si="20"/>
        <v>1906400</v>
      </c>
      <c r="N35" s="189">
        <f t="shared" si="17"/>
        <v>5293600</v>
      </c>
      <c r="O35" s="190">
        <f t="shared" si="23"/>
        <v>0.73522222222222222</v>
      </c>
      <c r="P35" s="188">
        <f t="shared" si="21"/>
        <v>1906400</v>
      </c>
      <c r="Q35" s="432">
        <f t="shared" si="18"/>
        <v>0</v>
      </c>
      <c r="R35" s="432">
        <f t="shared" si="19"/>
        <v>0</v>
      </c>
    </row>
    <row r="36" spans="1:18" ht="15" x14ac:dyDescent="0.25">
      <c r="A36" s="181">
        <v>2021010410</v>
      </c>
      <c r="B36" s="194" t="s">
        <v>94</v>
      </c>
      <c r="C36" s="159">
        <v>0</v>
      </c>
      <c r="D36" s="186"/>
      <c r="E36" s="457"/>
      <c r="F36" s="458"/>
      <c r="G36" s="459"/>
      <c r="H36" s="185">
        <f t="shared" si="15"/>
        <v>0</v>
      </c>
      <c r="I36" s="186">
        <f>MARZO!I36+MARZO!J36</f>
        <v>0</v>
      </c>
      <c r="J36" s="186">
        <v>0</v>
      </c>
      <c r="K36" s="187">
        <v>0</v>
      </c>
      <c r="L36" s="196">
        <f t="shared" si="16"/>
        <v>0</v>
      </c>
      <c r="M36" s="321">
        <f t="shared" si="20"/>
        <v>0</v>
      </c>
      <c r="N36" s="189">
        <f t="shared" si="17"/>
        <v>0</v>
      </c>
      <c r="O36" s="190">
        <v>0</v>
      </c>
      <c r="P36" s="188">
        <f t="shared" si="21"/>
        <v>0</v>
      </c>
      <c r="Q36" s="432">
        <f t="shared" si="18"/>
        <v>0</v>
      </c>
      <c r="R36" s="432">
        <f t="shared" si="19"/>
        <v>0</v>
      </c>
    </row>
    <row r="37" spans="1:18" s="192" customFormat="1" ht="27.75" customHeight="1" x14ac:dyDescent="0.2">
      <c r="A37" s="498">
        <v>20210201</v>
      </c>
      <c r="B37" s="195" t="s">
        <v>31</v>
      </c>
      <c r="C37" s="176">
        <f t="shared" ref="C37:J37" si="24">SUM(C38:C41)</f>
        <v>27300000</v>
      </c>
      <c r="D37" s="176">
        <f t="shared" si="24"/>
        <v>0</v>
      </c>
      <c r="E37" s="176">
        <f t="shared" si="24"/>
        <v>0</v>
      </c>
      <c r="F37" s="176">
        <f t="shared" si="24"/>
        <v>10300000</v>
      </c>
      <c r="G37" s="176">
        <f t="shared" si="24"/>
        <v>0</v>
      </c>
      <c r="H37" s="176">
        <f t="shared" si="24"/>
        <v>37600000</v>
      </c>
      <c r="I37" s="176">
        <f t="shared" si="24"/>
        <v>20587000</v>
      </c>
      <c r="J37" s="176">
        <f t="shared" si="24"/>
        <v>2900000</v>
      </c>
      <c r="K37" s="177">
        <f>L37/H37</f>
        <v>0.62465425531914898</v>
      </c>
      <c r="L37" s="191">
        <f>SUM(L38:L41)</f>
        <v>23487000</v>
      </c>
      <c r="M37" s="191">
        <f>SUM(M38:M41)</f>
        <v>23487000</v>
      </c>
      <c r="N37" s="176">
        <f>SUM(N38:N41)</f>
        <v>14113000</v>
      </c>
      <c r="O37" s="179">
        <f>N37/H37</f>
        <v>0.37534574468085108</v>
      </c>
      <c r="P37" s="176">
        <f>SUM(P38:P41)</f>
        <v>23487000</v>
      </c>
      <c r="Q37" s="176">
        <f>SUM(Q38:Q41)</f>
        <v>0</v>
      </c>
      <c r="R37" s="176">
        <f t="shared" si="19"/>
        <v>0</v>
      </c>
    </row>
    <row r="38" spans="1:18" ht="15" x14ac:dyDescent="0.25">
      <c r="A38" s="496" t="s">
        <v>231</v>
      </c>
      <c r="B38" s="194" t="s">
        <v>33</v>
      </c>
      <c r="C38" s="159">
        <v>6000000</v>
      </c>
      <c r="D38" s="186"/>
      <c r="E38" s="457"/>
      <c r="F38" s="458"/>
      <c r="G38" s="459"/>
      <c r="H38" s="185">
        <f>C38-D38+E38+F38-G38</f>
        <v>6000000</v>
      </c>
      <c r="I38" s="186">
        <f>MARZO!I38+MARZO!J38</f>
        <v>0</v>
      </c>
      <c r="J38" s="186">
        <v>0</v>
      </c>
      <c r="K38" s="187">
        <v>0</v>
      </c>
      <c r="L38" s="188">
        <f>J38+I38</f>
        <v>0</v>
      </c>
      <c r="M38" s="321">
        <f>I38+J38</f>
        <v>0</v>
      </c>
      <c r="N38" s="189">
        <f>H38-L38</f>
        <v>6000000</v>
      </c>
      <c r="O38" s="190">
        <v>0</v>
      </c>
      <c r="P38" s="432">
        <f>M38</f>
        <v>0</v>
      </c>
      <c r="Q38" s="432">
        <f>M38-P38</f>
        <v>0</v>
      </c>
      <c r="R38" s="432">
        <f t="shared" si="19"/>
        <v>0</v>
      </c>
    </row>
    <row r="39" spans="1:18" ht="15" x14ac:dyDescent="0.25">
      <c r="A39" s="496">
        <v>2021020102</v>
      </c>
      <c r="B39" s="197" t="s">
        <v>35</v>
      </c>
      <c r="C39" s="159">
        <v>20000000</v>
      </c>
      <c r="D39" s="186"/>
      <c r="E39" s="457"/>
      <c r="F39" s="458">
        <v>10000000</v>
      </c>
      <c r="G39" s="459"/>
      <c r="H39" s="185">
        <f>C39-D39+E39+F39-G39</f>
        <v>30000000</v>
      </c>
      <c r="I39" s="186">
        <f>MARZO!I39+MARZO!J39</f>
        <v>20587000</v>
      </c>
      <c r="J39" s="186">
        <v>1300000</v>
      </c>
      <c r="K39" s="187">
        <f>L39/H39</f>
        <v>0.7295666666666667</v>
      </c>
      <c r="L39" s="188">
        <f>J39+I39</f>
        <v>21887000</v>
      </c>
      <c r="M39" s="321">
        <f>I39+J39</f>
        <v>21887000</v>
      </c>
      <c r="N39" s="189">
        <f>H39-L39</f>
        <v>8113000</v>
      </c>
      <c r="O39" s="198">
        <f>N39/H39</f>
        <v>0.27043333333333336</v>
      </c>
      <c r="P39" s="432">
        <f>M39</f>
        <v>21887000</v>
      </c>
      <c r="Q39" s="432">
        <f>M39-P39</f>
        <v>0</v>
      </c>
      <c r="R39" s="432">
        <f t="shared" si="19"/>
        <v>0</v>
      </c>
    </row>
    <row r="40" spans="1:18" ht="15" x14ac:dyDescent="0.25">
      <c r="A40" s="496" t="s">
        <v>233</v>
      </c>
      <c r="B40" s="194" t="s">
        <v>37</v>
      </c>
      <c r="C40" s="159">
        <v>1300000</v>
      </c>
      <c r="D40" s="186"/>
      <c r="E40" s="457"/>
      <c r="F40" s="458">
        <v>300000</v>
      </c>
      <c r="G40" s="459"/>
      <c r="H40" s="185">
        <f>C40-D40+E40+F40-G40</f>
        <v>1600000</v>
      </c>
      <c r="I40" s="186">
        <f>MARZO!I40+MARZO!J40</f>
        <v>0</v>
      </c>
      <c r="J40" s="186">
        <v>1600000</v>
      </c>
      <c r="K40" s="187">
        <f>L40/H40</f>
        <v>1</v>
      </c>
      <c r="L40" s="188">
        <f>J40+I40</f>
        <v>1600000</v>
      </c>
      <c r="M40" s="321">
        <f>I40+J40</f>
        <v>1600000</v>
      </c>
      <c r="N40" s="189">
        <f>H40-L40</f>
        <v>0</v>
      </c>
      <c r="O40" s="198">
        <f>N40/H40</f>
        <v>0</v>
      </c>
      <c r="P40" s="188">
        <f>L40</f>
        <v>1600000</v>
      </c>
      <c r="Q40" s="432">
        <f>M40-P40</f>
        <v>0</v>
      </c>
      <c r="R40" s="432">
        <f t="shared" si="19"/>
        <v>0</v>
      </c>
    </row>
    <row r="41" spans="1:18" ht="15" x14ac:dyDescent="0.25">
      <c r="A41" s="181">
        <v>202120105</v>
      </c>
      <c r="B41" s="194" t="s">
        <v>39</v>
      </c>
      <c r="C41" s="159">
        <v>0</v>
      </c>
      <c r="D41" s="186"/>
      <c r="E41" s="457"/>
      <c r="F41" s="458"/>
      <c r="G41" s="459"/>
      <c r="H41" s="185">
        <f>C41-D41+E41+F41-G41</f>
        <v>0</v>
      </c>
      <c r="I41" s="186">
        <f>MARZO!I41+MARZO!J41</f>
        <v>0</v>
      </c>
      <c r="J41" s="186">
        <v>0</v>
      </c>
      <c r="K41" s="187">
        <v>0</v>
      </c>
      <c r="L41" s="196">
        <f>J41+I41</f>
        <v>0</v>
      </c>
      <c r="M41" s="321">
        <f>I41+J41</f>
        <v>0</v>
      </c>
      <c r="N41" s="189">
        <f>H41-L41</f>
        <v>0</v>
      </c>
      <c r="O41" s="198">
        <v>0</v>
      </c>
      <c r="P41" s="188">
        <f>L41</f>
        <v>0</v>
      </c>
      <c r="Q41" s="432">
        <f>M41-P41</f>
        <v>0</v>
      </c>
      <c r="R41" s="432">
        <f t="shared" si="19"/>
        <v>0</v>
      </c>
    </row>
    <row r="42" spans="1:18" s="192" customFormat="1" ht="27.75" customHeight="1" x14ac:dyDescent="0.2">
      <c r="A42" s="498" t="s">
        <v>235</v>
      </c>
      <c r="B42" s="195" t="s">
        <v>41</v>
      </c>
      <c r="C42" s="176">
        <f t="shared" ref="C42:I42" si="25">SUM(C43:C58)</f>
        <v>158227607</v>
      </c>
      <c r="D42" s="176">
        <f t="shared" si="25"/>
        <v>0</v>
      </c>
      <c r="E42" s="176">
        <f t="shared" si="25"/>
        <v>0</v>
      </c>
      <c r="F42" s="176">
        <f t="shared" si="25"/>
        <v>13000000</v>
      </c>
      <c r="G42" s="176">
        <f t="shared" si="25"/>
        <v>0</v>
      </c>
      <c r="H42" s="176">
        <f t="shared" si="25"/>
        <v>171227607</v>
      </c>
      <c r="I42" s="176">
        <f t="shared" si="25"/>
        <v>37513505</v>
      </c>
      <c r="J42" s="176">
        <f>SUM(J43:J58)</f>
        <v>4924054</v>
      </c>
      <c r="K42" s="177">
        <f>L42/H42</f>
        <v>0.24784297195720315</v>
      </c>
      <c r="L42" s="178">
        <f>SUM(L43:L58)</f>
        <v>42437559</v>
      </c>
      <c r="M42" s="178">
        <f>SUM(M43:M58)</f>
        <v>42437559</v>
      </c>
      <c r="N42" s="191">
        <f>SUM(N43:N58)</f>
        <v>128790048</v>
      </c>
      <c r="O42" s="179">
        <f t="shared" ref="O42:O47" si="26">N42/H42</f>
        <v>0.75215702804279683</v>
      </c>
      <c r="P42" s="191">
        <f>SUM(P43:P58)</f>
        <v>42437559</v>
      </c>
      <c r="Q42" s="191">
        <f>SUM(Q43:Q58)</f>
        <v>0</v>
      </c>
      <c r="R42" s="191">
        <f t="shared" si="19"/>
        <v>0</v>
      </c>
    </row>
    <row r="43" spans="1:18" ht="15.75" x14ac:dyDescent="0.25">
      <c r="A43" s="496">
        <v>2021020201</v>
      </c>
      <c r="B43" s="194" t="s">
        <v>43</v>
      </c>
      <c r="C43" s="159">
        <v>9400000</v>
      </c>
      <c r="D43" s="186"/>
      <c r="E43" s="457"/>
      <c r="F43" s="458">
        <v>3000000</v>
      </c>
      <c r="G43" s="459"/>
      <c r="H43" s="185">
        <f t="shared" ref="H43:H58" si="27">C43-D43+E43+F43-G43</f>
        <v>12400000</v>
      </c>
      <c r="I43" s="186">
        <f>MARZO!I43+MARZO!J43</f>
        <v>2800000</v>
      </c>
      <c r="J43" s="209">
        <v>1400000</v>
      </c>
      <c r="K43" s="187">
        <f t="shared" ref="K43:K49" si="28">L43/H43</f>
        <v>0.33870967741935482</v>
      </c>
      <c r="L43" s="188">
        <f>J43+I43</f>
        <v>4200000</v>
      </c>
      <c r="M43" s="434">
        <f>I43+J43</f>
        <v>4200000</v>
      </c>
      <c r="N43" s="437">
        <f t="shared" ref="N43:N58" si="29">H43-L43</f>
        <v>8200000</v>
      </c>
      <c r="O43" s="436">
        <f t="shared" si="26"/>
        <v>0.66129032258064513</v>
      </c>
      <c r="P43" s="188">
        <f t="shared" ref="P43:P58" si="30">L43</f>
        <v>4200000</v>
      </c>
      <c r="Q43" s="432">
        <f t="shared" ref="Q43:Q58" si="31">M43-P43</f>
        <v>0</v>
      </c>
      <c r="R43" s="435">
        <f>SUM(R44:R47)</f>
        <v>0</v>
      </c>
    </row>
    <row r="44" spans="1:18" ht="15" x14ac:dyDescent="0.25">
      <c r="A44" s="496" t="s">
        <v>236</v>
      </c>
      <c r="B44" s="194" t="s">
        <v>44</v>
      </c>
      <c r="C44" s="159">
        <v>73027607</v>
      </c>
      <c r="D44" s="186"/>
      <c r="E44" s="457"/>
      <c r="F44" s="458"/>
      <c r="G44" s="459"/>
      <c r="H44" s="185">
        <f t="shared" si="27"/>
        <v>73027607</v>
      </c>
      <c r="I44" s="186">
        <f>MARZO!I44+MARZO!J44</f>
        <v>25825941</v>
      </c>
      <c r="J44" s="209">
        <v>1599322</v>
      </c>
      <c r="K44" s="187">
        <f t="shared" si="28"/>
        <v>0.37554651078735196</v>
      </c>
      <c r="L44" s="188">
        <f t="shared" ref="L44:L58" si="32">J44+I44</f>
        <v>27425263</v>
      </c>
      <c r="M44" s="321">
        <f t="shared" ref="M44:M60" si="33">I44+J44</f>
        <v>27425263</v>
      </c>
      <c r="N44" s="189">
        <f t="shared" si="29"/>
        <v>45602344</v>
      </c>
      <c r="O44" s="198">
        <f t="shared" si="26"/>
        <v>0.62445348921264798</v>
      </c>
      <c r="P44" s="188">
        <f t="shared" si="30"/>
        <v>27425263</v>
      </c>
      <c r="Q44" s="432">
        <f t="shared" si="31"/>
        <v>0</v>
      </c>
      <c r="R44" s="432">
        <f>L44-M44</f>
        <v>0</v>
      </c>
    </row>
    <row r="45" spans="1:18" ht="15" x14ac:dyDescent="0.25">
      <c r="A45" s="496" t="s">
        <v>237</v>
      </c>
      <c r="B45" s="194" t="s">
        <v>46</v>
      </c>
      <c r="C45" s="159">
        <v>2000000</v>
      </c>
      <c r="D45" s="186"/>
      <c r="E45" s="457"/>
      <c r="F45" s="458"/>
      <c r="G45" s="459"/>
      <c r="H45" s="185">
        <f t="shared" si="27"/>
        <v>2000000</v>
      </c>
      <c r="I45" s="186">
        <f>MARZO!I45+MARZO!J45</f>
        <v>490000</v>
      </c>
      <c r="J45" s="209">
        <v>300000</v>
      </c>
      <c r="K45" s="187">
        <f t="shared" si="28"/>
        <v>0.39500000000000002</v>
      </c>
      <c r="L45" s="188">
        <f t="shared" si="32"/>
        <v>790000</v>
      </c>
      <c r="M45" s="321">
        <f t="shared" si="33"/>
        <v>790000</v>
      </c>
      <c r="N45" s="189">
        <f t="shared" si="29"/>
        <v>1210000</v>
      </c>
      <c r="O45" s="198">
        <f t="shared" si="26"/>
        <v>0.60499999999999998</v>
      </c>
      <c r="P45" s="188">
        <f t="shared" si="30"/>
        <v>790000</v>
      </c>
      <c r="Q45" s="432">
        <f t="shared" si="31"/>
        <v>0</v>
      </c>
      <c r="R45" s="432">
        <f>L45-M45</f>
        <v>0</v>
      </c>
    </row>
    <row r="46" spans="1:18" ht="15" x14ac:dyDescent="0.25">
      <c r="A46" s="496" t="s">
        <v>238</v>
      </c>
      <c r="B46" s="194" t="s">
        <v>48</v>
      </c>
      <c r="C46" s="159">
        <f>750000*12</f>
        <v>9000000</v>
      </c>
      <c r="D46" s="186"/>
      <c r="E46" s="457"/>
      <c r="F46" s="458"/>
      <c r="G46" s="459"/>
      <c r="H46" s="185">
        <f t="shared" si="27"/>
        <v>9000000</v>
      </c>
      <c r="I46" s="186">
        <f>MARZO!I46+MARZO!J46</f>
        <v>2559100</v>
      </c>
      <c r="J46" s="209">
        <v>907900</v>
      </c>
      <c r="K46" s="187">
        <f t="shared" si="28"/>
        <v>0.38522222222222224</v>
      </c>
      <c r="L46" s="188">
        <f t="shared" si="32"/>
        <v>3467000</v>
      </c>
      <c r="M46" s="321">
        <f t="shared" si="33"/>
        <v>3467000</v>
      </c>
      <c r="N46" s="189">
        <f t="shared" si="29"/>
        <v>5533000</v>
      </c>
      <c r="O46" s="190">
        <f t="shared" si="26"/>
        <v>0.61477777777777776</v>
      </c>
      <c r="P46" s="188">
        <f t="shared" si="30"/>
        <v>3467000</v>
      </c>
      <c r="Q46" s="432">
        <f t="shared" si="31"/>
        <v>0</v>
      </c>
      <c r="R46" s="432">
        <f>L46-M46</f>
        <v>0</v>
      </c>
    </row>
    <row r="47" spans="1:18" ht="15" x14ac:dyDescent="0.25">
      <c r="A47" s="496" t="s">
        <v>239</v>
      </c>
      <c r="B47" s="194" t="s">
        <v>50</v>
      </c>
      <c r="C47" s="159">
        <v>4500000</v>
      </c>
      <c r="D47" s="186"/>
      <c r="E47" s="457"/>
      <c r="F47" s="458"/>
      <c r="G47" s="459"/>
      <c r="H47" s="185">
        <f t="shared" si="27"/>
        <v>4500000</v>
      </c>
      <c r="I47" s="186">
        <f>MARZO!I47+MARZO!J47</f>
        <v>1029791</v>
      </c>
      <c r="J47" s="209">
        <v>340802</v>
      </c>
      <c r="K47" s="187">
        <f t="shared" si="28"/>
        <v>0.30457622222222225</v>
      </c>
      <c r="L47" s="188">
        <f t="shared" si="32"/>
        <v>1370593</v>
      </c>
      <c r="M47" s="321">
        <f t="shared" si="33"/>
        <v>1370593</v>
      </c>
      <c r="N47" s="189">
        <f t="shared" si="29"/>
        <v>3129407</v>
      </c>
      <c r="O47" s="190">
        <f t="shared" si="26"/>
        <v>0.69542377777777775</v>
      </c>
      <c r="P47" s="188">
        <f t="shared" si="30"/>
        <v>1370593</v>
      </c>
      <c r="Q47" s="432">
        <f t="shared" si="31"/>
        <v>0</v>
      </c>
      <c r="R47" s="432">
        <f>L47-M47</f>
        <v>0</v>
      </c>
    </row>
    <row r="48" spans="1:18" ht="15.75" x14ac:dyDescent="0.25">
      <c r="A48" s="496" t="s">
        <v>240</v>
      </c>
      <c r="B48" s="194" t="s">
        <v>52</v>
      </c>
      <c r="C48" s="159">
        <v>2500000</v>
      </c>
      <c r="D48" s="186"/>
      <c r="E48" s="457"/>
      <c r="F48" s="458"/>
      <c r="G48" s="459"/>
      <c r="H48" s="185">
        <f t="shared" si="27"/>
        <v>2500000</v>
      </c>
      <c r="I48" s="186">
        <f>MARZO!I48+MARZO!J48</f>
        <v>445134</v>
      </c>
      <c r="J48" s="209">
        <v>176030</v>
      </c>
      <c r="K48" s="187">
        <f t="shared" si="28"/>
        <v>0.24846560000000001</v>
      </c>
      <c r="L48" s="188">
        <f t="shared" si="32"/>
        <v>621164</v>
      </c>
      <c r="M48" s="434">
        <f t="shared" si="33"/>
        <v>621164</v>
      </c>
      <c r="N48" s="189">
        <f t="shared" si="29"/>
        <v>1878836</v>
      </c>
      <c r="O48" s="190">
        <v>0</v>
      </c>
      <c r="P48" s="188">
        <f t="shared" si="30"/>
        <v>621164</v>
      </c>
      <c r="Q48" s="432">
        <f t="shared" si="31"/>
        <v>0</v>
      </c>
      <c r="R48" s="433">
        <f>SUM(R49:R58)</f>
        <v>0</v>
      </c>
    </row>
    <row r="49" spans="1:18" ht="15" x14ac:dyDescent="0.25">
      <c r="A49" s="496" t="s">
        <v>241</v>
      </c>
      <c r="B49" s="197" t="s">
        <v>54</v>
      </c>
      <c r="C49" s="159">
        <v>1500000</v>
      </c>
      <c r="D49" s="186"/>
      <c r="E49" s="457"/>
      <c r="F49" s="458"/>
      <c r="G49" s="459"/>
      <c r="H49" s="185">
        <f t="shared" si="27"/>
        <v>1500000</v>
      </c>
      <c r="I49" s="186">
        <f>MARZO!I49+MARZO!J49</f>
        <v>214200</v>
      </c>
      <c r="J49" s="209">
        <v>200000</v>
      </c>
      <c r="K49" s="187">
        <f t="shared" si="28"/>
        <v>0.27613333333333334</v>
      </c>
      <c r="L49" s="188">
        <f>J49+I49</f>
        <v>414200</v>
      </c>
      <c r="M49" s="321">
        <f>I49+J49</f>
        <v>414200</v>
      </c>
      <c r="N49" s="189">
        <f t="shared" si="29"/>
        <v>1085800</v>
      </c>
      <c r="O49" s="190">
        <f>N49/H49</f>
        <v>0.72386666666666666</v>
      </c>
      <c r="P49" s="188">
        <f t="shared" si="30"/>
        <v>414200</v>
      </c>
      <c r="Q49" s="432">
        <f t="shared" si="31"/>
        <v>0</v>
      </c>
      <c r="R49" s="432">
        <f t="shared" ref="R49:R58" si="34">L49-M49</f>
        <v>0</v>
      </c>
    </row>
    <row r="50" spans="1:18" ht="15" x14ac:dyDescent="0.25">
      <c r="A50" s="181">
        <v>2021020208</v>
      </c>
      <c r="B50" s="194" t="s">
        <v>56</v>
      </c>
      <c r="C50" s="159">
        <v>0</v>
      </c>
      <c r="D50" s="186"/>
      <c r="E50" s="457"/>
      <c r="F50" s="458"/>
      <c r="G50" s="459"/>
      <c r="H50" s="185">
        <f t="shared" si="27"/>
        <v>0</v>
      </c>
      <c r="I50" s="186">
        <f>MARZO!I50+MARZO!J50</f>
        <v>0</v>
      </c>
      <c r="J50" s="209">
        <v>0</v>
      </c>
      <c r="K50" s="187">
        <v>0</v>
      </c>
      <c r="L50" s="188">
        <f t="shared" si="32"/>
        <v>0</v>
      </c>
      <c r="M50" s="321">
        <f t="shared" si="33"/>
        <v>0</v>
      </c>
      <c r="N50" s="189">
        <f t="shared" si="29"/>
        <v>0</v>
      </c>
      <c r="O50" s="190">
        <v>0</v>
      </c>
      <c r="P50" s="188">
        <f t="shared" si="30"/>
        <v>0</v>
      </c>
      <c r="Q50" s="432">
        <f t="shared" si="31"/>
        <v>0</v>
      </c>
      <c r="R50" s="432">
        <f t="shared" si="34"/>
        <v>0</v>
      </c>
    </row>
    <row r="51" spans="1:18" ht="15" x14ac:dyDescent="0.25">
      <c r="A51" s="496" t="s">
        <v>242</v>
      </c>
      <c r="B51" s="194" t="s">
        <v>58</v>
      </c>
      <c r="C51" s="159">
        <v>5000000</v>
      </c>
      <c r="D51" s="186"/>
      <c r="E51" s="457"/>
      <c r="F51" s="458"/>
      <c r="G51" s="459"/>
      <c r="H51" s="185">
        <f t="shared" si="27"/>
        <v>5000000</v>
      </c>
      <c r="I51" s="186">
        <f>MARZO!I51+MARZO!J51</f>
        <v>2364339</v>
      </c>
      <c r="J51" s="209">
        <v>0</v>
      </c>
      <c r="K51" s="187">
        <f>L51/H51</f>
        <v>0.4728678</v>
      </c>
      <c r="L51" s="188">
        <f t="shared" si="32"/>
        <v>2364339</v>
      </c>
      <c r="M51" s="321">
        <f t="shared" si="33"/>
        <v>2364339</v>
      </c>
      <c r="N51" s="189">
        <f t="shared" si="29"/>
        <v>2635661</v>
      </c>
      <c r="O51" s="190">
        <f>N51/H51</f>
        <v>0.52713220000000005</v>
      </c>
      <c r="P51" s="188">
        <f t="shared" si="30"/>
        <v>2364339</v>
      </c>
      <c r="Q51" s="432">
        <f t="shared" si="31"/>
        <v>0</v>
      </c>
      <c r="R51" s="432">
        <f t="shared" si="34"/>
        <v>0</v>
      </c>
    </row>
    <row r="52" spans="1:18" ht="15" x14ac:dyDescent="0.25">
      <c r="A52" s="496" t="s">
        <v>243</v>
      </c>
      <c r="B52" s="197" t="s">
        <v>60</v>
      </c>
      <c r="C52" s="159">
        <v>24000000</v>
      </c>
      <c r="D52" s="186"/>
      <c r="E52" s="457"/>
      <c r="F52" s="458"/>
      <c r="G52" s="459"/>
      <c r="H52" s="185">
        <f t="shared" si="27"/>
        <v>24000000</v>
      </c>
      <c r="I52" s="186">
        <f>MARZO!I52+MARZO!J52</f>
        <v>0</v>
      </c>
      <c r="J52" s="209">
        <v>0</v>
      </c>
      <c r="K52" s="187">
        <f>L52/H52</f>
        <v>0</v>
      </c>
      <c r="L52" s="188">
        <f t="shared" si="32"/>
        <v>0</v>
      </c>
      <c r="M52" s="321">
        <f t="shared" si="33"/>
        <v>0</v>
      </c>
      <c r="N52" s="189">
        <f t="shared" si="29"/>
        <v>24000000</v>
      </c>
      <c r="O52" s="190">
        <f>N52/H52</f>
        <v>1</v>
      </c>
      <c r="P52" s="188">
        <f t="shared" si="30"/>
        <v>0</v>
      </c>
      <c r="Q52" s="432">
        <f t="shared" si="31"/>
        <v>0</v>
      </c>
      <c r="R52" s="432">
        <f t="shared" si="34"/>
        <v>0</v>
      </c>
    </row>
    <row r="53" spans="1:18" ht="15" x14ac:dyDescent="0.25">
      <c r="A53" s="496" t="s">
        <v>244</v>
      </c>
      <c r="B53" s="194" t="s">
        <v>62</v>
      </c>
      <c r="C53" s="159">
        <v>4000000</v>
      </c>
      <c r="D53" s="186"/>
      <c r="E53" s="457"/>
      <c r="F53" s="458">
        <v>10000000</v>
      </c>
      <c r="G53" s="459"/>
      <c r="H53" s="185">
        <f t="shared" si="27"/>
        <v>14000000</v>
      </c>
      <c r="I53" s="186">
        <f>MARZO!I53+MARZO!J53</f>
        <v>1785000</v>
      </c>
      <c r="J53" s="209">
        <v>0</v>
      </c>
      <c r="K53" s="187">
        <v>0</v>
      </c>
      <c r="L53" s="188">
        <f t="shared" si="32"/>
        <v>1785000</v>
      </c>
      <c r="M53" s="321">
        <f t="shared" si="33"/>
        <v>1785000</v>
      </c>
      <c r="N53" s="189">
        <f t="shared" si="29"/>
        <v>12215000</v>
      </c>
      <c r="O53" s="190">
        <v>0</v>
      </c>
      <c r="P53" s="188">
        <f t="shared" si="30"/>
        <v>1785000</v>
      </c>
      <c r="Q53" s="432">
        <f t="shared" si="31"/>
        <v>0</v>
      </c>
      <c r="R53" s="432">
        <f t="shared" si="34"/>
        <v>0</v>
      </c>
    </row>
    <row r="54" spans="1:18" ht="15" x14ac:dyDescent="0.25">
      <c r="A54" s="496" t="s">
        <v>245</v>
      </c>
      <c r="B54" s="194" t="s">
        <v>64</v>
      </c>
      <c r="C54" s="159">
        <v>22000000</v>
      </c>
      <c r="D54" s="186"/>
      <c r="E54" s="457"/>
      <c r="F54" s="458"/>
      <c r="G54" s="459"/>
      <c r="H54" s="185">
        <f t="shared" si="27"/>
        <v>22000000</v>
      </c>
      <c r="I54" s="186">
        <f>MARZO!I54+MARZO!J54</f>
        <v>0</v>
      </c>
      <c r="J54" s="209">
        <v>0</v>
      </c>
      <c r="K54" s="187">
        <v>0</v>
      </c>
      <c r="L54" s="188">
        <f t="shared" si="32"/>
        <v>0</v>
      </c>
      <c r="M54" s="321">
        <f t="shared" si="33"/>
        <v>0</v>
      </c>
      <c r="N54" s="189">
        <f t="shared" si="29"/>
        <v>22000000</v>
      </c>
      <c r="O54" s="190">
        <v>0</v>
      </c>
      <c r="P54" s="188">
        <f t="shared" si="30"/>
        <v>0</v>
      </c>
      <c r="Q54" s="432">
        <f t="shared" si="31"/>
        <v>0</v>
      </c>
      <c r="R54" s="432">
        <f t="shared" si="34"/>
        <v>0</v>
      </c>
    </row>
    <row r="55" spans="1:18" ht="15" x14ac:dyDescent="0.25">
      <c r="A55" s="181">
        <v>2021020213</v>
      </c>
      <c r="B55" s="194" t="s">
        <v>65</v>
      </c>
      <c r="C55" s="159">
        <v>0</v>
      </c>
      <c r="D55" s="186"/>
      <c r="E55" s="457"/>
      <c r="F55" s="458"/>
      <c r="G55" s="459"/>
      <c r="H55" s="185">
        <f t="shared" si="27"/>
        <v>0</v>
      </c>
      <c r="I55" s="186">
        <f>MARZO!I55+MARZO!J55</f>
        <v>0</v>
      </c>
      <c r="J55" s="209">
        <v>0</v>
      </c>
      <c r="K55" s="187">
        <v>0</v>
      </c>
      <c r="L55" s="188">
        <f t="shared" si="32"/>
        <v>0</v>
      </c>
      <c r="M55" s="321">
        <f t="shared" si="33"/>
        <v>0</v>
      </c>
      <c r="N55" s="189">
        <f t="shared" si="29"/>
        <v>0</v>
      </c>
      <c r="O55" s="190">
        <v>0</v>
      </c>
      <c r="P55" s="188">
        <f t="shared" si="30"/>
        <v>0</v>
      </c>
      <c r="Q55" s="432">
        <f t="shared" si="31"/>
        <v>0</v>
      </c>
      <c r="R55" s="432">
        <f t="shared" si="34"/>
        <v>0</v>
      </c>
    </row>
    <row r="56" spans="1:18" ht="15" x14ac:dyDescent="0.25">
      <c r="A56" s="181">
        <v>2021020214</v>
      </c>
      <c r="B56" s="194" t="s">
        <v>67</v>
      </c>
      <c r="C56" s="159">
        <v>0</v>
      </c>
      <c r="D56" s="186"/>
      <c r="E56" s="457"/>
      <c r="F56" s="458"/>
      <c r="G56" s="459"/>
      <c r="H56" s="185">
        <f t="shared" si="27"/>
        <v>0</v>
      </c>
      <c r="I56" s="186">
        <f>MARZO!I56+MARZO!J56</f>
        <v>0</v>
      </c>
      <c r="J56" s="209">
        <v>0</v>
      </c>
      <c r="K56" s="187">
        <v>0</v>
      </c>
      <c r="L56" s="188">
        <f t="shared" si="32"/>
        <v>0</v>
      </c>
      <c r="M56" s="321">
        <f t="shared" si="33"/>
        <v>0</v>
      </c>
      <c r="N56" s="189">
        <f t="shared" si="29"/>
        <v>0</v>
      </c>
      <c r="O56" s="190">
        <v>0</v>
      </c>
      <c r="P56" s="188">
        <f t="shared" si="30"/>
        <v>0</v>
      </c>
      <c r="Q56" s="432">
        <f t="shared" si="31"/>
        <v>0</v>
      </c>
      <c r="R56" s="432">
        <f t="shared" si="34"/>
        <v>0</v>
      </c>
    </row>
    <row r="57" spans="1:18" ht="15" x14ac:dyDescent="0.25">
      <c r="A57" s="496" t="s">
        <v>246</v>
      </c>
      <c r="B57" s="194" t="s">
        <v>97</v>
      </c>
      <c r="C57" s="159">
        <v>1300000</v>
      </c>
      <c r="D57" s="186"/>
      <c r="E57" s="457"/>
      <c r="F57" s="458"/>
      <c r="G57" s="459"/>
      <c r="H57" s="185">
        <f t="shared" si="27"/>
        <v>1300000</v>
      </c>
      <c r="I57" s="186">
        <f>MARZO!I57+MARZO!J57</f>
        <v>0</v>
      </c>
      <c r="J57" s="209">
        <v>0</v>
      </c>
      <c r="K57" s="187">
        <f>L57/H57</f>
        <v>0</v>
      </c>
      <c r="L57" s="188">
        <f t="shared" si="32"/>
        <v>0</v>
      </c>
      <c r="M57" s="321">
        <f t="shared" si="33"/>
        <v>0</v>
      </c>
      <c r="N57" s="189">
        <f t="shared" si="29"/>
        <v>1300000</v>
      </c>
      <c r="O57" s="190">
        <f>N57/H57</f>
        <v>1</v>
      </c>
      <c r="P57" s="188">
        <f t="shared" si="30"/>
        <v>0</v>
      </c>
      <c r="Q57" s="432">
        <f t="shared" si="31"/>
        <v>0</v>
      </c>
      <c r="R57" s="432">
        <f t="shared" si="34"/>
        <v>0</v>
      </c>
    </row>
    <row r="58" spans="1:18" ht="15" x14ac:dyDescent="0.25">
      <c r="A58" s="199">
        <v>2021020216</v>
      </c>
      <c r="B58" s="194" t="s">
        <v>148</v>
      </c>
      <c r="C58" s="159">
        <v>0</v>
      </c>
      <c r="D58" s="186"/>
      <c r="E58" s="457"/>
      <c r="F58" s="458"/>
      <c r="G58" s="459"/>
      <c r="H58" s="185">
        <f t="shared" si="27"/>
        <v>0</v>
      </c>
      <c r="I58" s="186">
        <f>MARZO!I58+MARZO!J58</f>
        <v>0</v>
      </c>
      <c r="J58" s="209">
        <v>0</v>
      </c>
      <c r="K58" s="187">
        <v>0</v>
      </c>
      <c r="L58" s="188">
        <f t="shared" si="32"/>
        <v>0</v>
      </c>
      <c r="M58" s="321">
        <f t="shared" si="33"/>
        <v>0</v>
      </c>
      <c r="N58" s="189">
        <f t="shared" si="29"/>
        <v>0</v>
      </c>
      <c r="O58" s="190">
        <v>0</v>
      </c>
      <c r="P58" s="188">
        <f t="shared" si="30"/>
        <v>0</v>
      </c>
      <c r="Q58" s="432">
        <f t="shared" si="31"/>
        <v>0</v>
      </c>
      <c r="R58" s="432">
        <f t="shared" si="34"/>
        <v>0</v>
      </c>
    </row>
    <row r="59" spans="1:18" ht="27" customHeight="1" x14ac:dyDescent="0.2">
      <c r="A59" s="497">
        <v>20210301</v>
      </c>
      <c r="B59" s="195" t="s">
        <v>95</v>
      </c>
      <c r="C59" s="201">
        <f>C60</f>
        <v>0</v>
      </c>
      <c r="D59" s="206">
        <f>D60</f>
        <v>0</v>
      </c>
      <c r="E59" s="206">
        <f>E60</f>
        <v>0</v>
      </c>
      <c r="F59" s="206">
        <f>F60</f>
        <v>0</v>
      </c>
      <c r="G59" s="206">
        <f>G60</f>
        <v>0</v>
      </c>
      <c r="H59" s="176">
        <f>SUM(H60:H60)</f>
        <v>0</v>
      </c>
      <c r="I59" s="176">
        <f>SUM(I60:I60)</f>
        <v>0</v>
      </c>
      <c r="J59" s="176">
        <f>SUM(J60:J60)</f>
        <v>0</v>
      </c>
      <c r="K59" s="177">
        <f>K60</f>
        <v>1</v>
      </c>
      <c r="L59" s="178">
        <f>L60</f>
        <v>0</v>
      </c>
      <c r="M59" s="191">
        <f t="shared" si="33"/>
        <v>0</v>
      </c>
      <c r="N59" s="191">
        <f>SUM(N60:N60)</f>
        <v>0</v>
      </c>
      <c r="O59" s="179">
        <v>0</v>
      </c>
      <c r="P59" s="176">
        <f>SUM(P60:P60)</f>
        <v>0</v>
      </c>
      <c r="Q59" s="176">
        <f>SUM(Q60:Q60)</f>
        <v>0</v>
      </c>
      <c r="R59" s="176">
        <f>SUM(R60:R60)</f>
        <v>0</v>
      </c>
    </row>
    <row r="60" spans="1:18" ht="15" x14ac:dyDescent="0.25">
      <c r="A60" s="207">
        <v>2021030101</v>
      </c>
      <c r="B60" s="208" t="s">
        <v>96</v>
      </c>
      <c r="C60" s="183"/>
      <c r="D60" s="209">
        <v>0</v>
      </c>
      <c r="E60" s="457"/>
      <c r="F60" s="458"/>
      <c r="G60" s="459"/>
      <c r="H60" s="185">
        <f>C60-D60+E60+F60-G60</f>
        <v>0</v>
      </c>
      <c r="I60" s="186">
        <f>FEBRERO!I54+FEBRERO!J54</f>
        <v>0</v>
      </c>
      <c r="J60" s="209">
        <v>0</v>
      </c>
      <c r="K60" s="187">
        <v>1</v>
      </c>
      <c r="L60" s="188">
        <f>J60+I60</f>
        <v>0</v>
      </c>
      <c r="M60" s="321">
        <f t="shared" si="33"/>
        <v>0</v>
      </c>
      <c r="N60" s="189">
        <f>H60-L60</f>
        <v>0</v>
      </c>
      <c r="O60" s="190">
        <v>0</v>
      </c>
      <c r="P60" s="188">
        <f>L60</f>
        <v>0</v>
      </c>
      <c r="Q60" s="432">
        <f>M60-P60</f>
        <v>0</v>
      </c>
      <c r="R60" s="188"/>
    </row>
    <row r="61" spans="1:18" s="216" customFormat="1" ht="31.5" customHeight="1" x14ac:dyDescent="0.2">
      <c r="A61" s="210"/>
      <c r="B61" s="211" t="s">
        <v>165</v>
      </c>
      <c r="C61" s="212">
        <f>C26+C21+C42+C17+C37+C8+C59</f>
        <v>1168442348</v>
      </c>
      <c r="D61" s="213">
        <f>D9+D26</f>
        <v>0</v>
      </c>
      <c r="E61" s="213">
        <f>E8+E17+E37+E42+E21+E26+E59</f>
        <v>0</v>
      </c>
      <c r="F61" s="213">
        <f>F8+F17+F37+F42++F21+F26+F59</f>
        <v>66300000</v>
      </c>
      <c r="G61" s="213">
        <f>G8+G17+G37+G42+G21+G26+G59</f>
        <v>66300000</v>
      </c>
      <c r="H61" s="213">
        <f>H8+H17+H37+H42+H21+H26+H59</f>
        <v>1168442348</v>
      </c>
      <c r="I61" s="213">
        <f>I8+I17+I37+I42+I21+I26+I59</f>
        <v>289613931.86666667</v>
      </c>
      <c r="J61" s="213">
        <f>J8+J17+J37+J42+J21+J26+J59</f>
        <v>85091534</v>
      </c>
      <c r="K61" s="214">
        <f>L61/H61</f>
        <v>0.32068802239840305</v>
      </c>
      <c r="L61" s="213">
        <f>L8+L17+L37+L42+L21+L26+L59</f>
        <v>374705465.86666667</v>
      </c>
      <c r="M61" s="213">
        <f>M8+M17+M37+M42+M21+M26+M59</f>
        <v>374705465.86666667</v>
      </c>
      <c r="N61" s="213">
        <f>N8+N17+N37+N42+N21+N26+N59</f>
        <v>793736882.13333333</v>
      </c>
      <c r="O61" s="215">
        <f>N61/H61</f>
        <v>0.67931197760159689</v>
      </c>
      <c r="P61" s="213">
        <f>P8+P17+P37+P42+P21+P26+P59</f>
        <v>322905465.86666667</v>
      </c>
      <c r="Q61" s="213">
        <f>Q8+Q17+Q37+Q42+Q21+Q26+Q59</f>
        <v>51800000</v>
      </c>
      <c r="R61" s="213">
        <f>R9+R17+R21+R26+R43+R48+R59</f>
        <v>0</v>
      </c>
    </row>
    <row r="62" spans="1:18" ht="35.25" customHeight="1" x14ac:dyDescent="0.25">
      <c r="A62" s="431" t="s">
        <v>166</v>
      </c>
      <c r="B62" s="682" t="s">
        <v>271</v>
      </c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4"/>
      <c r="P62" s="217"/>
      <c r="Q62" s="217"/>
      <c r="R62" s="217"/>
    </row>
    <row r="64" spans="1:18" x14ac:dyDescent="0.2">
      <c r="D64" s="218"/>
      <c r="E64" s="218"/>
      <c r="F64" s="218"/>
      <c r="G64" s="218"/>
      <c r="N64" s="218"/>
    </row>
    <row r="65" spans="4:14" x14ac:dyDescent="0.2">
      <c r="G65" s="218"/>
      <c r="I65" s="218"/>
      <c r="J65" s="221"/>
      <c r="N65" s="218"/>
    </row>
    <row r="66" spans="4:14" x14ac:dyDescent="0.2">
      <c r="D66" s="218"/>
      <c r="J66" s="218"/>
      <c r="K66" s="218"/>
      <c r="N66" s="218"/>
    </row>
    <row r="67" spans="4:14" x14ac:dyDescent="0.2">
      <c r="H67" s="218"/>
      <c r="J67" s="218"/>
      <c r="K67" s="609">
        <v>622524</v>
      </c>
      <c r="N67" s="218"/>
    </row>
    <row r="68" spans="4:14" x14ac:dyDescent="0.2">
      <c r="H68" s="218"/>
      <c r="J68" s="218"/>
      <c r="K68" s="609">
        <v>465670</v>
      </c>
    </row>
  </sheetData>
  <mergeCells count="5">
    <mergeCell ref="A1:O1"/>
    <mergeCell ref="A2:O2"/>
    <mergeCell ref="A3:O3"/>
    <mergeCell ref="K5:K6"/>
    <mergeCell ref="B62:O62"/>
  </mergeCells>
  <printOptions horizontalCentered="1" verticalCentered="1"/>
  <pageMargins left="0.23622047244094491" right="0.23622047244094491" top="0.39370078740157483" bottom="0.39370078740157483" header="0" footer="0"/>
  <pageSetup paperSize="5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PAC INICIAL 2020 (2)</vt:lpstr>
      <vt:lpstr>PROYECCION 2021</vt:lpstr>
      <vt:lpstr>PAC INICIAL 2021</vt:lpstr>
      <vt:lpstr>PAC MENSUALIZADO 2021</vt:lpstr>
      <vt:lpstr>LIBRO DE PRESUPUESTO</vt:lpstr>
      <vt:lpstr>ENERO</vt:lpstr>
      <vt:lpstr>FEBRERO</vt:lpstr>
      <vt:lpstr>MARZO</vt:lpstr>
      <vt:lpstr>ABRIL</vt:lpstr>
      <vt:lpstr>MAYO</vt:lpstr>
      <vt:lpstr>JUNIO</vt:lpstr>
      <vt:lpstr>JULIO</vt:lpstr>
      <vt:lpstr>ABRIL!Área_de_impresión</vt:lpstr>
      <vt:lpstr>JULIO!Área_de_impresión</vt:lpstr>
      <vt:lpstr>JUNIO!Área_de_impresión</vt:lpstr>
      <vt:lpstr>MARZO!Área_de_impresión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CONTROL FISCAL</cp:lastModifiedBy>
  <cp:lastPrinted>2021-06-03T21:15:42Z</cp:lastPrinted>
  <dcterms:created xsi:type="dcterms:W3CDTF">2017-04-04T19:21:33Z</dcterms:created>
  <dcterms:modified xsi:type="dcterms:W3CDTF">2021-08-04T21:19:03Z</dcterms:modified>
</cp:coreProperties>
</file>